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nrollment Management\Enrollment reports toward census\Spring 2020\"/>
    </mc:Choice>
  </mc:AlternateContent>
  <bookViews>
    <workbookView xWindow="0" yWindow="0" windowWidth="19035" windowHeight="7590"/>
  </bookViews>
  <sheets>
    <sheet name="Sheet 1" sheetId="1" r:id="rId1"/>
    <sheet name="Chk" sheetId="3" r:id="rId2"/>
  </sheets>
  <calcPr calcId="162913"/>
</workbook>
</file>

<file path=xl/calcChain.xml><?xml version="1.0" encoding="utf-8"?>
<calcChain xmlns="http://schemas.openxmlformats.org/spreadsheetml/2006/main">
  <c r="I41" i="1" l="1"/>
  <c r="I35" i="1"/>
  <c r="C10" i="1"/>
  <c r="H34" i="1"/>
  <c r="H40" i="1"/>
  <c r="B38" i="1"/>
  <c r="B33" i="1"/>
  <c r="B32" i="1"/>
  <c r="H38" i="1"/>
  <c r="H32" i="1"/>
  <c r="H12" i="1"/>
  <c r="I34" i="1"/>
  <c r="I40" i="1"/>
  <c r="C38" i="1"/>
  <c r="C37" i="1"/>
  <c r="B37" i="1"/>
  <c r="C32" i="1"/>
  <c r="I32" i="1"/>
  <c r="I38" i="1"/>
  <c r="D10" i="1"/>
  <c r="E10" i="1" s="1"/>
  <c r="C7" i="1"/>
  <c r="D7" i="1" s="1"/>
  <c r="E7" i="1" s="1"/>
  <c r="K22" i="1"/>
  <c r="H19" i="1"/>
  <c r="I19" i="1"/>
  <c r="H6" i="1"/>
  <c r="I6" i="1"/>
  <c r="H18" i="1"/>
  <c r="I18" i="1"/>
  <c r="H17" i="1"/>
  <c r="I17" i="1"/>
  <c r="H15" i="1"/>
  <c r="I15" i="1"/>
  <c r="I14" i="1"/>
  <c r="H14" i="1"/>
  <c r="I9" i="1"/>
  <c r="H9" i="1"/>
  <c r="I7" i="1"/>
  <c r="H7" i="1"/>
  <c r="I5" i="1"/>
  <c r="H5" i="1"/>
  <c r="I10" i="1"/>
  <c r="H4" i="1"/>
  <c r="B19" i="1"/>
  <c r="B6" i="1"/>
  <c r="D6" i="1" s="1"/>
  <c r="E6" i="1" s="1"/>
  <c r="C19" i="1"/>
  <c r="C6" i="1"/>
  <c r="E11" i="1"/>
  <c r="D23" i="1"/>
  <c r="E23" i="1" s="1"/>
  <c r="D22" i="1"/>
  <c r="E22" i="1" s="1"/>
  <c r="D21" i="1"/>
  <c r="E21" i="1" s="1"/>
  <c r="D20" i="1"/>
  <c r="E20" i="1" s="1"/>
  <c r="D18" i="1"/>
  <c r="E18" i="1" s="1"/>
  <c r="D17" i="1"/>
  <c r="E17" i="1" s="1"/>
  <c r="D16" i="1"/>
  <c r="E16" i="1" s="1"/>
  <c r="D15" i="1"/>
  <c r="E15" i="1" s="1"/>
  <c r="D14" i="1"/>
  <c r="E14" i="1" s="1"/>
  <c r="D13" i="1"/>
  <c r="E13" i="1" s="1"/>
  <c r="D12" i="1"/>
  <c r="E12" i="1" s="1"/>
  <c r="D11" i="1"/>
  <c r="D9" i="1"/>
  <c r="E9" i="1" s="1"/>
  <c r="D8" i="1"/>
  <c r="E8" i="1" s="1"/>
  <c r="D5" i="1"/>
  <c r="E5" i="1" s="1"/>
  <c r="D4" i="1"/>
  <c r="E4" i="1" s="1"/>
  <c r="C24" i="1" l="1"/>
  <c r="C3" i="3" s="1"/>
  <c r="D19" i="1"/>
  <c r="E19" i="1" s="1"/>
  <c r="B24" i="1"/>
  <c r="J22" i="1"/>
  <c r="D26" i="1"/>
  <c r="E26" i="1" s="1"/>
  <c r="B27" i="1" l="1"/>
  <c r="B3" i="3"/>
  <c r="I24" i="1"/>
  <c r="J35" i="1" l="1"/>
  <c r="K35" i="1" s="1"/>
  <c r="J39" i="1"/>
  <c r="K39" i="1" s="1"/>
  <c r="J41" i="1"/>
  <c r="K41" i="1" s="1"/>
  <c r="J33" i="1"/>
  <c r="K33" i="1" s="1"/>
  <c r="D40" i="1" l="1"/>
  <c r="E40" i="1" s="1"/>
  <c r="J48" i="1" l="1"/>
  <c r="B8" i="3"/>
  <c r="J45" i="1"/>
  <c r="C8" i="3"/>
  <c r="J26" i="1"/>
  <c r="D25" i="1"/>
  <c r="E25" i="1" s="1"/>
  <c r="B4" i="3" l="1"/>
  <c r="H24" i="1"/>
  <c r="J46" i="1" l="1"/>
  <c r="K44" i="1"/>
  <c r="F8" i="3"/>
  <c r="F3" i="3"/>
  <c r="I27" i="1"/>
  <c r="F4" i="3" s="1"/>
  <c r="J44" i="1"/>
  <c r="E8" i="3"/>
  <c r="E3" i="3"/>
  <c r="H27" i="1"/>
  <c r="D35" i="1"/>
  <c r="E35" i="1" s="1"/>
  <c r="D34" i="1"/>
  <c r="E34" i="1" s="1"/>
  <c r="D33" i="1"/>
  <c r="E33" i="1" s="1"/>
  <c r="D32" i="1"/>
  <c r="E32" i="1" s="1"/>
  <c r="E4" i="3" l="1"/>
  <c r="J47" i="1"/>
  <c r="C36" i="1"/>
  <c r="F6" i="3" s="1"/>
  <c r="B36" i="1"/>
  <c r="E6" i="3" s="1"/>
  <c r="J32" i="1" l="1"/>
  <c r="K32" i="1" s="1"/>
  <c r="J34" i="1"/>
  <c r="K34" i="1" s="1"/>
  <c r="J12" i="1" l="1"/>
  <c r="K12" i="1" s="1"/>
  <c r="D41" i="1"/>
  <c r="E41" i="1" s="1"/>
  <c r="D39" i="1"/>
  <c r="E39" i="1" s="1"/>
  <c r="D38" i="1"/>
  <c r="E38" i="1" s="1"/>
  <c r="J27" i="1"/>
  <c r="K27" i="1" s="1"/>
  <c r="J25" i="1"/>
  <c r="K25" i="1" s="1"/>
  <c r="J18" i="1"/>
  <c r="K18" i="1" s="1"/>
  <c r="K46" i="1"/>
  <c r="J21" i="1"/>
  <c r="K21" i="1" s="1"/>
  <c r="J20" i="1"/>
  <c r="K20" i="1" s="1"/>
  <c r="J19" i="1"/>
  <c r="K19" i="1" s="1"/>
  <c r="J17" i="1"/>
  <c r="K17" i="1" s="1"/>
  <c r="J16" i="1"/>
  <c r="K16" i="1" s="1"/>
  <c r="J15" i="1"/>
  <c r="K15" i="1" s="1"/>
  <c r="J14" i="1"/>
  <c r="K14" i="1" s="1"/>
  <c r="J13" i="1"/>
  <c r="K13" i="1" s="1"/>
  <c r="J11" i="1"/>
  <c r="K11" i="1" s="1"/>
  <c r="J10" i="1"/>
  <c r="K10" i="1" s="1"/>
  <c r="J9" i="1"/>
  <c r="K9" i="1" s="1"/>
  <c r="J8" i="1"/>
  <c r="K8" i="1" s="1"/>
  <c r="J7" i="1"/>
  <c r="K7" i="1" s="1"/>
  <c r="J6" i="1"/>
  <c r="K6" i="1" s="1"/>
  <c r="J5" i="1"/>
  <c r="K5" i="1" s="1"/>
  <c r="J4" i="1"/>
  <c r="K4" i="1" s="1"/>
  <c r="J38" i="1"/>
  <c r="K38" i="1" s="1"/>
  <c r="J40" i="1"/>
  <c r="K40" i="1" s="1"/>
  <c r="J24" i="1"/>
  <c r="K24" i="1" s="1"/>
  <c r="D36" i="1"/>
  <c r="E36" i="1" s="1"/>
  <c r="D37" i="1" l="1"/>
  <c r="E37" i="1" s="1"/>
  <c r="K47" i="1"/>
  <c r="K45" i="1"/>
  <c r="K48" i="1"/>
  <c r="D24" i="1"/>
  <c r="E24" i="1" s="1"/>
  <c r="C27" i="1"/>
  <c r="C4" i="3" s="1"/>
  <c r="D27" i="1" l="1"/>
  <c r="E27" i="1" s="1"/>
</calcChain>
</file>

<file path=xl/sharedStrings.xml><?xml version="1.0" encoding="utf-8"?>
<sst xmlns="http://schemas.openxmlformats.org/spreadsheetml/2006/main" count="134" uniqueCount="99">
  <si>
    <t>Change</t>
  </si>
  <si>
    <t>%</t>
  </si>
  <si>
    <t>School</t>
  </si>
  <si>
    <t>SPEA</t>
  </si>
  <si>
    <t>Credit Hours Taught</t>
  </si>
  <si>
    <t>Headcount by Student School</t>
  </si>
  <si>
    <t>Sophomore</t>
  </si>
  <si>
    <t>Graduate</t>
  </si>
  <si>
    <t>UG Heads</t>
  </si>
  <si>
    <t>UG Credits</t>
  </si>
  <si>
    <t>Credit hour totals may be rounded in cases where a school total includes .5 credits</t>
  </si>
  <si>
    <t>Total Res Heads</t>
  </si>
  <si>
    <t>Total Res Credits</t>
  </si>
  <si>
    <t>Total NR Heads</t>
  </si>
  <si>
    <t>Total NR Credits</t>
  </si>
  <si>
    <t>UG non-residents as % of total campus credits</t>
  </si>
  <si>
    <t>Total NR as % of total campus heads</t>
  </si>
  <si>
    <t>Total NR as % of total campus credits</t>
  </si>
  <si>
    <t>UG non-residents as % of total campus heads</t>
  </si>
  <si>
    <t>Dentistry</t>
  </si>
  <si>
    <t>Education</t>
  </si>
  <si>
    <t>Nursing</t>
  </si>
  <si>
    <t>Science</t>
  </si>
  <si>
    <t>University College</t>
  </si>
  <si>
    <t>Engineering-Tech</t>
  </si>
  <si>
    <t>Non-Residents as Share of Campus Totals</t>
  </si>
  <si>
    <t>Freshman</t>
  </si>
  <si>
    <t>Junior</t>
  </si>
  <si>
    <t>Senior</t>
  </si>
  <si>
    <t>Grad Non-Degree</t>
  </si>
  <si>
    <t>UG Non-Degree</t>
  </si>
  <si>
    <t>Indianapolis Total</t>
  </si>
  <si>
    <t>Indianapolis Enrollment</t>
  </si>
  <si>
    <t>McKinney Law</t>
  </si>
  <si>
    <t>Undergrads</t>
  </si>
  <si>
    <t xml:space="preserve">Herron Art  &amp; Design </t>
  </si>
  <si>
    <t>Internal School Change</t>
  </si>
  <si>
    <t>Fairbanks Public Health</t>
  </si>
  <si>
    <t>Medicine</t>
  </si>
  <si>
    <t>Tables with student level and enrollment by residency status are Indianapolis only</t>
  </si>
  <si>
    <t>Lilly Family Philanthropy</t>
  </si>
  <si>
    <t>Social Work</t>
  </si>
  <si>
    <t>Source:  IRDS Point-in-Cycle, Registrar, and UIRR Reports</t>
  </si>
  <si>
    <t>IUPUI Honors College</t>
  </si>
  <si>
    <t>IUPUI Combined#</t>
  </si>
  <si>
    <t>n/a</t>
  </si>
  <si>
    <t>Informatics &amp; Computing</t>
  </si>
  <si>
    <t>Liberal Arts</t>
  </si>
  <si>
    <t>Health &amp; Human Sci *</t>
  </si>
  <si>
    <t>IU Ft. Wayne</t>
  </si>
  <si>
    <t>totals in columns</t>
  </si>
  <si>
    <t>Indy+Colc</t>
  </si>
  <si>
    <t>Students Level</t>
  </si>
  <si>
    <t>Residency</t>
  </si>
  <si>
    <t>2017 Indy credits</t>
  </si>
  <si>
    <t>2018 Indy credits</t>
  </si>
  <si>
    <t>2017 Indy Heads</t>
  </si>
  <si>
    <t>2018 Indy Heads</t>
  </si>
  <si>
    <t>^ Counts are Indianapolis only</t>
  </si>
  <si>
    <t>Resident^</t>
  </si>
  <si>
    <t>Non-Resident^</t>
  </si>
  <si>
    <t>Student Level^</t>
  </si>
  <si>
    <r>
      <t xml:space="preserve">*** Notes:  While most IUPUI students pursuing graduate studies enroll through the IUPUI school that offers the degree, </t>
    </r>
    <r>
      <rPr>
        <i/>
        <sz val="8"/>
        <rFont val="Arial"/>
        <family val="2"/>
      </rPr>
      <t xml:space="preserve">GRAD </t>
    </r>
    <r>
      <rPr>
        <sz val="8"/>
        <rFont val="Arial"/>
        <family val="2"/>
      </rPr>
      <t>holds students who enroll through the IU Graduate School.  This is primarily students in Liberal Arts and Medicine but also includes some students pursuing other IU graduate degrees. In this report most degree-seeking students have been attributed to their units.</t>
    </r>
  </si>
  <si>
    <t>IU Online</t>
  </si>
  <si>
    <t>Doctoral-Practice</t>
  </si>
  <si>
    <t>Doctoral-Research</t>
  </si>
  <si>
    <t>IN Total</t>
  </si>
  <si>
    <t>Admin Tracking Group</t>
  </si>
  <si>
    <t>Spring 2020</t>
  </si>
  <si>
    <t>11/11/2019</t>
  </si>
  <si>
    <t>Undistributed Grad*</t>
  </si>
  <si>
    <t>*Total also adjusted for students enrolled in degrees offered through the Graduate School but who also have been distributed to schools housing their programs. Heads are counted only once in IN Total.  Credits are not affected.</t>
  </si>
  <si>
    <t>Kelley Business**</t>
  </si>
  <si>
    <t>11/05/2018</t>
  </si>
  <si>
    <t>11/11/2019 - Monday after priority registration</t>
  </si>
  <si>
    <t>IUPUC***</t>
  </si>
  <si>
    <t>*** Priority registration for IUPUC Spring 2020 term ended 11/2/2019</t>
  </si>
  <si>
    <t>Office of Institutional Research and Decision Support 11/11/2019</t>
  </si>
  <si>
    <t xml:space="preserve">+5 ug; -59 grad/prof; -1 non-degree </t>
  </si>
  <si>
    <t>+27 ug; +133 grad; -4 non-degree</t>
  </si>
  <si>
    <t>+13 ug; -16 grad; +2 non-degree</t>
  </si>
  <si>
    <t>-33 ug; -14 grad</t>
  </si>
  <si>
    <t>-19 ug; -6 grad</t>
  </si>
  <si>
    <t>+14 ug; +38 grad; +1 non-degree</t>
  </si>
  <si>
    <t>-23 grad/prof; -1 non-degree</t>
  </si>
  <si>
    <t>+107 ug; -7 grad</t>
  </si>
  <si>
    <t>+47 ug; +8 grad/prof</t>
  </si>
  <si>
    <t>-32 ug; +55 grad/prof; -6 non-degree</t>
  </si>
  <si>
    <t>+1 ug; -5 grad</t>
  </si>
  <si>
    <t>-19 ug; +7 grad</t>
  </si>
  <si>
    <t>+37 ug; -12 grad/prof</t>
  </si>
  <si>
    <t>+50 ug; +2 grad; +12 non-degree</t>
  </si>
  <si>
    <t>+102 ug; -3 grad</t>
  </si>
  <si>
    <t>+44 ug; +40 grad; -1 non-degree</t>
  </si>
  <si>
    <t>-5 non-degree</t>
  </si>
  <si>
    <t>-34 ug; -7 hs; -17 non-degree</t>
  </si>
  <si>
    <t>-2 non-degree</t>
  </si>
  <si>
    <t xml:space="preserve">  **Enrollment for Winter 2019 began on 10/21/2019. However, winter term enrollment for 2018 did not begin untill after 11/12/2018 last year. Winter term enrollment is included with Spring census.</t>
  </si>
  <si>
    <t>#Students enrolled at multiple campuses and multiple careers across schools are counted twice at this time. Totals will be adjusted at census. Credits are not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</si>
</sst>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10409]#,##0;\-#,##0"/>
  </numFmts>
  <fonts count="32" x14ac:knownFonts="1">
    <font>
      <sz val="10"/>
      <name val="Arial"/>
    </font>
    <font>
      <b/>
      <sz val="10"/>
      <name val="Arial"/>
      <family val="2"/>
    </font>
    <font>
      <sz val="10"/>
      <name val="Arial"/>
      <family val="2"/>
    </font>
    <font>
      <b/>
      <sz val="14"/>
      <name val="Arial"/>
      <family val="2"/>
    </font>
    <font>
      <sz val="8"/>
      <name val="Arial"/>
      <family val="2"/>
    </font>
    <font>
      <b/>
      <sz val="12"/>
      <name val="Arial"/>
      <family val="2"/>
    </font>
    <font>
      <i/>
      <sz val="8"/>
      <name val="Arial"/>
      <family val="2"/>
    </font>
    <font>
      <sz val="12"/>
      <name val="Arial"/>
      <family val="2"/>
    </font>
    <font>
      <i/>
      <sz val="9"/>
      <name val="Calibri"/>
      <family val="2"/>
    </font>
    <font>
      <i/>
      <sz val="10"/>
      <name val="Arial"/>
      <family val="2"/>
    </font>
    <font>
      <sz val="11"/>
      <color theme="1"/>
      <name val="Calibri"/>
      <family val="2"/>
      <scheme val="minor"/>
    </font>
    <font>
      <sz val="11"/>
      <color rgb="FF000000"/>
      <name val="Calibri"/>
      <family val="2"/>
      <scheme val="minor"/>
    </font>
    <font>
      <b/>
      <sz val="9"/>
      <color theme="1"/>
      <name val="Arial"/>
      <family val="2"/>
    </font>
    <font>
      <b/>
      <sz val="10"/>
      <color rgb="FF000000"/>
      <name val="Arial"/>
      <family val="2"/>
    </font>
    <font>
      <sz val="11"/>
      <name val="Calibri"/>
      <family val="2"/>
      <scheme val="minor"/>
    </font>
    <font>
      <b/>
      <sz val="12"/>
      <name val="Calibri"/>
      <family val="2"/>
      <scheme val="minor"/>
    </font>
    <font>
      <i/>
      <sz val="10"/>
      <name val="Calibri"/>
      <family val="2"/>
      <scheme val="minor"/>
    </font>
    <font>
      <b/>
      <sz val="11"/>
      <name val="Calibri"/>
      <family val="2"/>
      <scheme val="minor"/>
    </font>
    <font>
      <sz val="11"/>
      <color rgb="FF333333"/>
      <name val="Calibri"/>
      <family val="2"/>
      <scheme val="minor"/>
    </font>
    <font>
      <sz val="10.5"/>
      <name val="Calibri"/>
      <family val="2"/>
      <scheme val="minor"/>
    </font>
    <font>
      <i/>
      <sz val="9"/>
      <name val="Calibri"/>
      <family val="2"/>
      <scheme val="minor"/>
    </font>
    <font>
      <sz val="10"/>
      <name val="Calibri"/>
      <family val="2"/>
      <scheme val="minor"/>
    </font>
    <font>
      <sz val="10"/>
      <color rgb="FFFF0000"/>
      <name val="Arial"/>
      <family val="2"/>
    </font>
    <font>
      <b/>
      <sz val="11"/>
      <color theme="1"/>
      <name val="Calibri"/>
      <family val="2"/>
      <scheme val="minor"/>
    </font>
    <font>
      <b/>
      <sz val="11"/>
      <color rgb="FF000000"/>
      <name val="Calibri"/>
      <family val="2"/>
      <scheme val="minor"/>
    </font>
    <font>
      <b/>
      <sz val="11"/>
      <color rgb="FFFF0000"/>
      <name val="Calibri"/>
      <family val="2"/>
      <scheme val="minor"/>
    </font>
    <font>
      <i/>
      <sz val="8"/>
      <color rgb="FFFF0000"/>
      <name val="Arial"/>
      <family val="2"/>
    </font>
    <font>
      <b/>
      <sz val="14"/>
      <color rgb="FF00B050"/>
      <name val="Arial"/>
      <family val="2"/>
    </font>
    <font>
      <sz val="14"/>
      <color rgb="FF00B050"/>
      <name val="Arial"/>
      <family val="2"/>
    </font>
    <font>
      <sz val="11"/>
      <color rgb="FFFF0000"/>
      <name val="Calibri"/>
      <family val="2"/>
      <scheme val="minor"/>
    </font>
    <font>
      <sz val="11"/>
      <color rgb="FF00B050"/>
      <name val="Calibri"/>
      <family val="2"/>
      <scheme val="minor"/>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3" tint="0.79998168889431442"/>
        <bgColor indexed="64"/>
      </patternFill>
    </fill>
  </fills>
  <borders count="46">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rgb="FF000000"/>
      </left>
      <right style="thin">
        <color rgb="FF000000"/>
      </right>
      <top style="thin">
        <color indexed="64"/>
      </top>
      <bottom style="thick">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style="medium">
        <color indexed="64"/>
      </left>
      <right style="thin">
        <color rgb="FF000000"/>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0" fontId="10" fillId="0" borderId="0"/>
    <xf numFmtId="0" fontId="11" fillId="0" borderId="0"/>
  </cellStyleXfs>
  <cellXfs count="218">
    <xf numFmtId="0" fontId="0" fillId="0" borderId="0" xfId="0"/>
    <xf numFmtId="0" fontId="1" fillId="0" borderId="0" xfId="0" applyFont="1"/>
    <xf numFmtId="0" fontId="3" fillId="0" borderId="0" xfId="0" applyFont="1" applyAlignment="1">
      <alignment horizontal="left"/>
    </xf>
    <xf numFmtId="0" fontId="5" fillId="0" borderId="0" xfId="0" applyFont="1" applyAlignment="1">
      <alignment horizontal="left"/>
    </xf>
    <xf numFmtId="49" fontId="0" fillId="0" borderId="0" xfId="0" applyNumberFormat="1"/>
    <xf numFmtId="0" fontId="12" fillId="0" borderId="0" xfId="0" applyFont="1" applyBorder="1"/>
    <xf numFmtId="0" fontId="3" fillId="0" borderId="0" xfId="0" applyFont="1" applyAlignment="1">
      <alignment horizontal="center"/>
    </xf>
    <xf numFmtId="165" fontId="0" fillId="0" borderId="0" xfId="0" applyNumberFormat="1" applyAlignment="1">
      <alignment horizontal="center"/>
    </xf>
    <xf numFmtId="0" fontId="0" fillId="0" borderId="0" xfId="0" applyAlignment="1">
      <alignment horizontal="center"/>
    </xf>
    <xf numFmtId="3" fontId="13" fillId="0" borderId="0" xfId="0" applyNumberFormat="1" applyFont="1" applyFill="1" applyBorder="1" applyAlignment="1">
      <alignment horizontal="center" wrapText="1"/>
    </xf>
    <xf numFmtId="3" fontId="0" fillId="0" borderId="0" xfId="0" applyNumberFormat="1" applyAlignment="1">
      <alignment horizontal="center"/>
    </xf>
    <xf numFmtId="164" fontId="14" fillId="0" borderId="1" xfId="0" applyNumberFormat="1" applyFont="1" applyBorder="1" applyAlignment="1">
      <alignment horizontal="center"/>
    </xf>
    <xf numFmtId="164" fontId="14" fillId="0" borderId="2" xfId="0" applyNumberFormat="1" applyFont="1" applyBorder="1" applyAlignment="1">
      <alignment horizontal="center"/>
    </xf>
    <xf numFmtId="0" fontId="0" fillId="0" borderId="0" xfId="0" applyAlignment="1">
      <alignment vertical="center"/>
    </xf>
    <xf numFmtId="0" fontId="3" fillId="2" borderId="0" xfId="0" applyFont="1" applyFill="1" applyAlignment="1">
      <alignment horizontal="left"/>
    </xf>
    <xf numFmtId="0" fontId="1" fillId="2" borderId="0" xfId="0" applyFont="1" applyFill="1"/>
    <xf numFmtId="0" fontId="0" fillId="2" borderId="0" xfId="0" applyFill="1"/>
    <xf numFmtId="0" fontId="0" fillId="2" borderId="0" xfId="0" applyFill="1" applyBorder="1"/>
    <xf numFmtId="0" fontId="14" fillId="0" borderId="4" xfId="0" applyFont="1" applyFill="1" applyBorder="1"/>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49" fontId="16" fillId="2" borderId="7" xfId="0" applyNumberFormat="1" applyFont="1" applyFill="1" applyBorder="1" applyAlignment="1">
      <alignment vertical="top" wrapText="1"/>
    </xf>
    <xf numFmtId="49" fontId="17" fillId="3" borderId="8" xfId="0" applyNumberFormat="1" applyFont="1" applyFill="1" applyBorder="1" applyAlignment="1">
      <alignment horizontal="center"/>
    </xf>
    <xf numFmtId="164" fontId="11" fillId="2" borderId="0" xfId="0" applyNumberFormat="1" applyFont="1" applyFill="1" applyBorder="1" applyAlignment="1">
      <alignment horizontal="right" vertical="center" wrapText="1"/>
    </xf>
    <xf numFmtId="0" fontId="14" fillId="0" borderId="4" xfId="0" applyFont="1" applyFill="1" applyBorder="1" applyAlignment="1">
      <alignment vertical="center"/>
    </xf>
    <xf numFmtId="0" fontId="14" fillId="2" borderId="4" xfId="0" applyFont="1" applyFill="1" applyBorder="1" applyAlignment="1">
      <alignment vertical="center"/>
    </xf>
    <xf numFmtId="0" fontId="14" fillId="2" borderId="0" xfId="0" applyFont="1" applyFill="1" applyBorder="1"/>
    <xf numFmtId="0" fontId="14" fillId="2" borderId="0" xfId="0" applyFont="1" applyFill="1" applyBorder="1" applyAlignment="1">
      <alignment vertical="center"/>
    </xf>
    <xf numFmtId="0" fontId="0" fillId="2" borderId="0" xfId="0" applyFill="1" applyBorder="1" applyAlignment="1">
      <alignment vertical="center"/>
    </xf>
    <xf numFmtId="164" fontId="18" fillId="4" borderId="0" xfId="0" applyNumberFormat="1" applyFont="1" applyFill="1" applyBorder="1" applyAlignment="1">
      <alignment horizontal="center" wrapText="1"/>
    </xf>
    <xf numFmtId="0" fontId="4" fillId="2" borderId="0" xfId="0" applyFont="1" applyFill="1" applyBorder="1" applyAlignment="1">
      <alignment horizontal="left" wrapText="1"/>
    </xf>
    <xf numFmtId="0" fontId="4" fillId="2" borderId="0" xfId="0" applyFont="1" applyFill="1" applyBorder="1" applyAlignment="1">
      <alignment wrapText="1"/>
    </xf>
    <xf numFmtId="0" fontId="20" fillId="0" borderId="0" xfId="0" applyFont="1"/>
    <xf numFmtId="164" fontId="14" fillId="0" borderId="11" xfId="0" applyNumberFormat="1" applyFont="1" applyBorder="1" applyAlignment="1">
      <alignment horizontal="center"/>
    </xf>
    <xf numFmtId="164" fontId="14" fillId="0" borderId="12" xfId="0" applyNumberFormat="1" applyFont="1" applyBorder="1" applyAlignment="1">
      <alignment horizontal="center"/>
    </xf>
    <xf numFmtId="49" fontId="21" fillId="2" borderId="7" xfId="0" applyNumberFormat="1" applyFont="1" applyFill="1" applyBorder="1" applyAlignment="1">
      <alignment vertical="top" wrapText="1"/>
    </xf>
    <xf numFmtId="0" fontId="17" fillId="2" borderId="4" xfId="0" applyFont="1" applyFill="1" applyBorder="1"/>
    <xf numFmtId="0" fontId="17" fillId="5" borderId="13" xfId="0" applyFont="1" applyFill="1" applyBorder="1"/>
    <xf numFmtId="0" fontId="14" fillId="0" borderId="4" xfId="0" applyFont="1" applyBorder="1" applyAlignment="1">
      <alignment vertical="center"/>
    </xf>
    <xf numFmtId="0" fontId="17" fillId="3" borderId="4" xfId="0" applyFont="1" applyFill="1" applyBorder="1" applyAlignment="1">
      <alignment vertical="center"/>
    </xf>
    <xf numFmtId="0" fontId="14" fillId="0" borderId="16" xfId="0" applyFont="1" applyBorder="1"/>
    <xf numFmtId="0" fontId="17" fillId="0" borderId="4" xfId="0" applyFont="1" applyBorder="1"/>
    <xf numFmtId="0" fontId="17" fillId="0" borderId="13" xfId="0" applyFont="1" applyBorder="1"/>
    <xf numFmtId="0" fontId="2" fillId="0" borderId="0" xfId="0" applyFont="1"/>
    <xf numFmtId="0" fontId="14" fillId="0" borderId="4" xfId="0" applyFont="1" applyBorder="1" applyAlignment="1">
      <alignment horizontal="left" vertical="center" wrapText="1"/>
    </xf>
    <xf numFmtId="0" fontId="23" fillId="3" borderId="4" xfId="0" applyFont="1" applyFill="1" applyBorder="1" applyAlignment="1">
      <alignment horizontal="left" vertical="center" wrapText="1"/>
    </xf>
    <xf numFmtId="0" fontId="14" fillId="0" borderId="13" xfId="0" applyFont="1" applyBorder="1" applyAlignment="1">
      <alignment horizontal="left" vertical="center" wrapText="1"/>
    </xf>
    <xf numFmtId="3" fontId="11" fillId="4" borderId="9" xfId="0" applyNumberFormat="1" applyFont="1" applyFill="1" applyBorder="1" applyAlignment="1">
      <alignment horizontal="center" vertical="center" wrapText="1" readingOrder="1"/>
    </xf>
    <xf numFmtId="0" fontId="14" fillId="2" borderId="0" xfId="0" applyFont="1" applyFill="1"/>
    <xf numFmtId="0" fontId="14" fillId="0" borderId="16" xfId="0" applyFont="1" applyBorder="1" applyAlignment="1">
      <alignment vertical="center"/>
    </xf>
    <xf numFmtId="0" fontId="17" fillId="0" borderId="4" xfId="0" applyFont="1" applyBorder="1" applyAlignment="1">
      <alignment vertical="center"/>
    </xf>
    <xf numFmtId="0" fontId="17" fillId="0" borderId="13" xfId="0" applyFont="1" applyBorder="1" applyAlignment="1">
      <alignment vertical="center"/>
    </xf>
    <xf numFmtId="166" fontId="24" fillId="3" borderId="24" xfId="0" applyNumberFormat="1" applyFont="1" applyFill="1" applyBorder="1" applyAlignment="1">
      <alignment horizontal="center" vertical="center" wrapText="1" readingOrder="1"/>
    </xf>
    <xf numFmtId="166" fontId="11" fillId="0" borderId="24" xfId="0" applyNumberFormat="1" applyFont="1" applyFill="1" applyBorder="1" applyAlignment="1">
      <alignment horizontal="center" vertical="center" wrapText="1" readingOrder="1"/>
    </xf>
    <xf numFmtId="0" fontId="14" fillId="0" borderId="16" xfId="0" applyFont="1" applyFill="1" applyBorder="1"/>
    <xf numFmtId="0" fontId="17" fillId="3" borderId="17" xfId="0" applyFont="1" applyFill="1" applyBorder="1"/>
    <xf numFmtId="49" fontId="17" fillId="3" borderId="18" xfId="0" applyNumberFormat="1" applyFont="1" applyFill="1" applyBorder="1" applyAlignment="1">
      <alignment horizontal="center"/>
    </xf>
    <xf numFmtId="16" fontId="17" fillId="3" borderId="5" xfId="0" applyNumberFormat="1" applyFont="1" applyFill="1" applyBorder="1" applyAlignment="1">
      <alignment horizontal="center"/>
    </xf>
    <xf numFmtId="16" fontId="17" fillId="3" borderId="6" xfId="0" applyNumberFormat="1" applyFont="1" applyFill="1" applyBorder="1" applyAlignment="1">
      <alignment horizontal="center"/>
    </xf>
    <xf numFmtId="0" fontId="14" fillId="0" borderId="16" xfId="0" applyFont="1" applyFill="1" applyBorder="1" applyAlignment="1">
      <alignment vertical="center"/>
    </xf>
    <xf numFmtId="16" fontId="17" fillId="3" borderId="18" xfId="0" applyNumberFormat="1" applyFont="1" applyFill="1" applyBorder="1" applyAlignment="1">
      <alignment horizontal="center"/>
    </xf>
    <xf numFmtId="0" fontId="1" fillId="2" borderId="0" xfId="0" applyFont="1" applyFill="1" applyAlignment="1">
      <alignment horizontal="center"/>
    </xf>
    <xf numFmtId="3" fontId="11" fillId="0" borderId="24" xfId="0" applyNumberFormat="1" applyFont="1" applyFill="1" applyBorder="1" applyAlignment="1">
      <alignment horizontal="center" vertical="center" wrapText="1" readingOrder="1"/>
    </xf>
    <xf numFmtId="3" fontId="24" fillId="3" borderId="9" xfId="0" applyNumberFormat="1" applyFont="1" applyFill="1" applyBorder="1" applyAlignment="1">
      <alignment horizontal="center" vertical="center" wrapText="1" readingOrder="1"/>
    </xf>
    <xf numFmtId="166" fontId="24" fillId="5" borderId="25" xfId="0" applyNumberFormat="1" applyFont="1" applyFill="1" applyBorder="1" applyAlignment="1">
      <alignment horizontal="center" vertical="center" wrapText="1" readingOrder="1"/>
    </xf>
    <xf numFmtId="166" fontId="11" fillId="2" borderId="24" xfId="0"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xf>
    <xf numFmtId="0" fontId="15" fillId="3" borderId="19" xfId="0" applyFont="1" applyFill="1" applyBorder="1" applyAlignment="1">
      <alignment vertical="center"/>
    </xf>
    <xf numFmtId="0" fontId="15" fillId="3" borderId="19" xfId="0" applyFont="1" applyFill="1" applyBorder="1"/>
    <xf numFmtId="0" fontId="15" fillId="3" borderId="5" xfId="0" applyFont="1" applyFill="1" applyBorder="1" applyAlignment="1">
      <alignment horizontal="center"/>
    </xf>
    <xf numFmtId="0" fontId="15" fillId="3" borderId="6" xfId="0" applyFont="1" applyFill="1" applyBorder="1" applyAlignment="1">
      <alignment horizontal="center"/>
    </xf>
    <xf numFmtId="1" fontId="16" fillId="2" borderId="7" xfId="0" applyNumberFormat="1" applyFont="1" applyFill="1" applyBorder="1" applyAlignment="1">
      <alignment horizontal="left" vertical="center" wrapText="1"/>
    </xf>
    <xf numFmtId="0" fontId="1" fillId="2" borderId="0" xfId="0" applyFont="1" applyFill="1" applyAlignment="1">
      <alignment horizontal="left"/>
    </xf>
    <xf numFmtId="49" fontId="1" fillId="2" borderId="0" xfId="0" applyNumberFormat="1" applyFont="1" applyFill="1" applyAlignment="1">
      <alignment horizontal="left"/>
    </xf>
    <xf numFmtId="3" fontId="29" fillId="2" borderId="9" xfId="0" applyNumberFormat="1" applyFont="1" applyFill="1" applyBorder="1" applyAlignment="1">
      <alignment horizontal="center" wrapText="1"/>
    </xf>
    <xf numFmtId="3" fontId="30" fillId="2" borderId="9" xfId="0" applyNumberFormat="1" applyFont="1" applyFill="1" applyBorder="1" applyAlignment="1">
      <alignment horizontal="center" wrapText="1"/>
    </xf>
    <xf numFmtId="3" fontId="30" fillId="2" borderId="9" xfId="0" applyNumberFormat="1" applyFont="1" applyFill="1" applyBorder="1" applyAlignment="1">
      <alignment horizontal="center" vertical="center" wrapText="1"/>
    </xf>
    <xf numFmtId="164" fontId="29" fillId="2" borderId="1" xfId="0" applyNumberFormat="1" applyFont="1" applyFill="1" applyBorder="1" applyAlignment="1">
      <alignment horizontal="center" wrapText="1"/>
    </xf>
    <xf numFmtId="164" fontId="30" fillId="2" borderId="1" xfId="0" applyNumberFormat="1" applyFont="1" applyFill="1" applyBorder="1" applyAlignment="1">
      <alignment horizontal="center" wrapText="1"/>
    </xf>
    <xf numFmtId="164" fontId="29" fillId="2" borderId="12"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166" fontId="29" fillId="0" borderId="9" xfId="0" applyNumberFormat="1" applyFont="1" applyFill="1" applyBorder="1" applyAlignment="1">
      <alignment horizontal="center" vertical="center" wrapText="1" readingOrder="1"/>
    </xf>
    <xf numFmtId="0" fontId="15" fillId="3" borderId="19" xfId="0" applyFont="1" applyFill="1" applyBorder="1" applyAlignment="1">
      <alignment horizontal="left" vertical="center"/>
    </xf>
    <xf numFmtId="3" fontId="30" fillId="2" borderId="3" xfId="0" applyNumberFormat="1" applyFont="1" applyFill="1" applyBorder="1" applyAlignment="1">
      <alignment horizontal="center" wrapText="1"/>
    </xf>
    <xf numFmtId="164" fontId="30" fillId="2" borderId="12" xfId="0" applyNumberFormat="1" applyFont="1" applyFill="1" applyBorder="1" applyAlignment="1">
      <alignment horizontal="center" wrapText="1"/>
    </xf>
    <xf numFmtId="0" fontId="14" fillId="0" borderId="16" xfId="0" applyFont="1" applyFill="1" applyBorder="1" applyAlignment="1">
      <alignment horizontal="left" vertical="center" wrapText="1"/>
    </xf>
    <xf numFmtId="0" fontId="14" fillId="0" borderId="4" xfId="0" applyFont="1" applyFill="1" applyBorder="1" applyAlignment="1">
      <alignment horizontal="left" vertical="center" wrapText="1"/>
    </xf>
    <xf numFmtId="3" fontId="14" fillId="0" borderId="1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22" fillId="0" borderId="0" xfId="0" applyNumberFormat="1" applyFont="1" applyFill="1" applyAlignment="1">
      <alignment horizontal="center"/>
    </xf>
    <xf numFmtId="3" fontId="14" fillId="0" borderId="11" xfId="0" applyNumberFormat="1" applyFont="1" applyFill="1" applyBorder="1" applyAlignment="1">
      <alignment horizontal="center"/>
    </xf>
    <xf numFmtId="3" fontId="14" fillId="0" borderId="9" xfId="0" applyNumberFormat="1" applyFont="1" applyFill="1" applyBorder="1" applyAlignment="1">
      <alignment horizontal="center"/>
    </xf>
    <xf numFmtId="3" fontId="17" fillId="0" borderId="9" xfId="0" applyNumberFormat="1" applyFont="1" applyFill="1" applyBorder="1" applyAlignment="1">
      <alignment horizontal="center"/>
    </xf>
    <xf numFmtId="3" fontId="17" fillId="0" borderId="10" xfId="0" applyNumberFormat="1" applyFont="1" applyFill="1" applyBorder="1" applyAlignment="1">
      <alignment horizontal="center"/>
    </xf>
    <xf numFmtId="3" fontId="2" fillId="0" borderId="0" xfId="0" applyNumberFormat="1" applyFont="1" applyFill="1" applyAlignment="1">
      <alignment horizontal="center"/>
    </xf>
    <xf numFmtId="3" fontId="14" fillId="0" borderId="9"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0" fontId="17" fillId="5" borderId="31" xfId="0" applyFont="1" applyFill="1" applyBorder="1"/>
    <xf numFmtId="3" fontId="17" fillId="5" borderId="32" xfId="0" applyNumberFormat="1" applyFont="1" applyFill="1" applyBorder="1" applyAlignment="1">
      <alignment horizontal="center" vertical="center" wrapText="1" readingOrder="1"/>
    </xf>
    <xf numFmtId="0" fontId="22" fillId="0" borderId="8" xfId="0" applyFont="1" applyBorder="1" applyAlignment="1">
      <alignment horizontal="center"/>
    </xf>
    <xf numFmtId="0" fontId="22" fillId="0" borderId="34" xfId="0" applyFont="1" applyBorder="1" applyAlignment="1">
      <alignment horizontal="center"/>
    </xf>
    <xf numFmtId="0" fontId="14" fillId="2" borderId="35" xfId="0" applyFont="1" applyFill="1" applyBorder="1"/>
    <xf numFmtId="0" fontId="17" fillId="0" borderId="26" xfId="0" applyFont="1" applyFill="1" applyBorder="1" applyAlignment="1">
      <alignment vertical="center"/>
    </xf>
    <xf numFmtId="0" fontId="0" fillId="0" borderId="0" xfId="0" applyAlignment="1">
      <alignment horizontal="center" vertical="center"/>
    </xf>
    <xf numFmtId="49" fontId="20" fillId="0" borderId="22" xfId="0" applyNumberFormat="1" applyFont="1" applyBorder="1" applyAlignment="1">
      <alignment horizontal="right"/>
    </xf>
    <xf numFmtId="166" fontId="31" fillId="3" borderId="9" xfId="0" applyNumberFormat="1" applyFont="1" applyFill="1" applyBorder="1" applyAlignment="1">
      <alignment horizontal="center" vertical="center" wrapText="1" readingOrder="1"/>
    </xf>
    <xf numFmtId="164" fontId="31" fillId="3" borderId="1" xfId="0" applyNumberFormat="1" applyFont="1" applyFill="1" applyBorder="1" applyAlignment="1">
      <alignment horizontal="center" vertical="center" wrapText="1"/>
    </xf>
    <xf numFmtId="166" fontId="30" fillId="0" borderId="9" xfId="0" applyNumberFormat="1" applyFont="1" applyFill="1" applyBorder="1" applyAlignment="1">
      <alignment horizontal="center" vertical="center" wrapText="1" readingOrder="1"/>
    </xf>
    <xf numFmtId="164" fontId="30" fillId="0" borderId="9" xfId="0" applyNumberFormat="1" applyFont="1" applyBorder="1" applyAlignment="1">
      <alignment horizontal="center" vertical="center" wrapText="1" readingOrder="1"/>
    </xf>
    <xf numFmtId="3" fontId="14" fillId="0" borderId="9" xfId="0" applyNumberFormat="1" applyFont="1" applyBorder="1" applyAlignment="1">
      <alignment horizontal="center"/>
    </xf>
    <xf numFmtId="3" fontId="14" fillId="0" borderId="21" xfId="0" applyNumberFormat="1" applyFont="1" applyBorder="1" applyAlignment="1">
      <alignment horizontal="center"/>
    </xf>
    <xf numFmtId="49" fontId="14" fillId="0" borderId="7" xfId="0" applyNumberFormat="1" applyFont="1" applyFill="1" applyBorder="1" applyAlignment="1">
      <alignment horizontal="left" vertical="center"/>
    </xf>
    <xf numFmtId="49" fontId="14" fillId="0" borderId="7" xfId="0" applyNumberFormat="1" applyFont="1" applyFill="1" applyBorder="1" applyAlignment="1">
      <alignment horizontal="left" vertical="center" wrapText="1"/>
    </xf>
    <xf numFmtId="49" fontId="19" fillId="0" borderId="7" xfId="0" applyNumberFormat="1" applyFont="1" applyFill="1" applyBorder="1" applyAlignment="1">
      <alignment horizontal="left" vertical="center" wrapText="1"/>
    </xf>
    <xf numFmtId="49" fontId="14" fillId="0" borderId="20" xfId="0" applyNumberFormat="1" applyFont="1" applyFill="1" applyBorder="1" applyAlignment="1">
      <alignment horizontal="left" vertical="center" wrapText="1"/>
    </xf>
    <xf numFmtId="49" fontId="19" fillId="0" borderId="20" xfId="0" applyNumberFormat="1" applyFont="1" applyFill="1" applyBorder="1" applyAlignment="1">
      <alignment horizontal="left" vertical="center" wrapText="1"/>
    </xf>
    <xf numFmtId="3" fontId="11" fillId="0" borderId="39" xfId="0" applyNumberFormat="1" applyFont="1" applyFill="1" applyBorder="1" applyAlignment="1">
      <alignment horizontal="center" vertical="center" wrapText="1" readingOrder="1"/>
    </xf>
    <xf numFmtId="0" fontId="17" fillId="3" borderId="23" xfId="0" applyFont="1" applyFill="1" applyBorder="1"/>
    <xf numFmtId="164" fontId="11" fillId="2" borderId="35" xfId="0" applyNumberFormat="1" applyFont="1" applyFill="1" applyBorder="1" applyAlignment="1">
      <alignment horizontal="center" vertical="center" wrapText="1"/>
    </xf>
    <xf numFmtId="3" fontId="31" fillId="5" borderId="29" xfId="0" applyNumberFormat="1" applyFont="1" applyFill="1" applyBorder="1" applyAlignment="1">
      <alignment horizontal="center" vertical="center" wrapText="1"/>
    </xf>
    <xf numFmtId="164" fontId="31" fillId="5" borderId="30" xfId="0" applyNumberFormat="1" applyFont="1" applyFill="1" applyBorder="1" applyAlignment="1">
      <alignment horizontal="center" vertical="center" wrapText="1"/>
    </xf>
    <xf numFmtId="3" fontId="29" fillId="2" borderId="9" xfId="0" applyNumberFormat="1" applyFont="1" applyFill="1" applyBorder="1" applyAlignment="1">
      <alignment horizontal="center" vertical="center" wrapText="1"/>
    </xf>
    <xf numFmtId="164" fontId="29" fillId="0" borderId="9" xfId="0" applyNumberFormat="1" applyFont="1" applyBorder="1" applyAlignment="1">
      <alignment horizontal="center" vertical="center" wrapText="1" readingOrder="1"/>
    </xf>
    <xf numFmtId="3" fontId="14" fillId="0" borderId="37" xfId="0" applyNumberFormat="1" applyFont="1" applyBorder="1" applyAlignment="1">
      <alignment horizontal="center"/>
    </xf>
    <xf numFmtId="3" fontId="14" fillId="0" borderId="36" xfId="0" applyNumberFormat="1" applyFont="1" applyBorder="1" applyAlignment="1">
      <alignment horizontal="center"/>
    </xf>
    <xf numFmtId="49" fontId="0" fillId="0" borderId="42" xfId="0" applyNumberFormat="1" applyBorder="1"/>
    <xf numFmtId="3" fontId="31" fillId="2" borderId="9" xfId="0" applyNumberFormat="1" applyFont="1" applyFill="1" applyBorder="1" applyAlignment="1">
      <alignment horizontal="center" wrapText="1"/>
    </xf>
    <xf numFmtId="164" fontId="31" fillId="2" borderId="1" xfId="0" applyNumberFormat="1" applyFont="1" applyFill="1" applyBorder="1" applyAlignment="1">
      <alignment horizontal="center" vertical="center" wrapText="1"/>
    </xf>
    <xf numFmtId="0" fontId="0" fillId="0" borderId="0" xfId="0" applyAlignment="1">
      <alignment vertical="top" wrapText="1"/>
    </xf>
    <xf numFmtId="3" fontId="31" fillId="0" borderId="9" xfId="0" applyNumberFormat="1" applyFont="1" applyFill="1" applyBorder="1" applyAlignment="1">
      <alignment horizontal="center" vertical="center" wrapText="1"/>
    </xf>
    <xf numFmtId="0" fontId="17" fillId="3" borderId="0" xfId="0" applyFont="1" applyFill="1"/>
    <xf numFmtId="1" fontId="11" fillId="0" borderId="25" xfId="0" applyNumberFormat="1" applyFont="1" applyFill="1" applyBorder="1" applyAlignment="1">
      <alignment horizontal="center" vertical="center" wrapText="1" readingOrder="1"/>
    </xf>
    <xf numFmtId="1" fontId="17" fillId="3" borderId="43" xfId="0" applyNumberFormat="1" applyFont="1" applyFill="1" applyBorder="1" applyAlignment="1">
      <alignment horizontal="center"/>
    </xf>
    <xf numFmtId="1" fontId="17" fillId="3" borderId="37" xfId="0" applyNumberFormat="1" applyFont="1" applyFill="1" applyBorder="1" applyAlignment="1">
      <alignment horizontal="center"/>
    </xf>
    <xf numFmtId="3" fontId="14" fillId="0" borderId="0" xfId="0" applyNumberFormat="1" applyFont="1" applyAlignment="1">
      <alignment horizontal="center"/>
    </xf>
    <xf numFmtId="3" fontId="29" fillId="0" borderId="9" xfId="0" applyNumberFormat="1" applyFont="1" applyFill="1" applyBorder="1" applyAlignment="1">
      <alignment horizontal="center" wrapText="1"/>
    </xf>
    <xf numFmtId="164" fontId="29" fillId="0" borderId="1" xfId="0" applyNumberFormat="1" applyFont="1" applyFill="1" applyBorder="1" applyAlignment="1">
      <alignment horizont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164" fontId="30" fillId="2" borderId="12" xfId="0" applyNumberFormat="1" applyFont="1" applyFill="1" applyBorder="1" applyAlignment="1">
      <alignment horizontal="center" vertical="center" wrapText="1"/>
    </xf>
    <xf numFmtId="3" fontId="31" fillId="2" borderId="3" xfId="0" applyNumberFormat="1" applyFont="1" applyFill="1" applyBorder="1" applyAlignment="1">
      <alignment horizontal="center" vertical="center" wrapText="1"/>
    </xf>
    <xf numFmtId="164" fontId="31" fillId="2" borderId="12" xfId="0" applyNumberFormat="1" applyFont="1" applyFill="1" applyBorder="1" applyAlignment="1">
      <alignment horizontal="center" vertical="center" wrapText="1"/>
    </xf>
    <xf numFmtId="3" fontId="31" fillId="2" borderId="14" xfId="0" applyNumberFormat="1" applyFont="1" applyFill="1" applyBorder="1" applyAlignment="1">
      <alignment horizontal="center" vertical="center" wrapText="1"/>
    </xf>
    <xf numFmtId="164" fontId="31" fillId="2" borderId="15" xfId="0" applyNumberFormat="1" applyFont="1" applyFill="1" applyBorder="1" applyAlignment="1">
      <alignment horizontal="center" vertical="center" wrapText="1"/>
    </xf>
    <xf numFmtId="3" fontId="30" fillId="2" borderId="11" xfId="0" applyNumberFormat="1" applyFont="1" applyFill="1" applyBorder="1" applyAlignment="1">
      <alignment horizontal="center" vertical="center" wrapText="1"/>
    </xf>
    <xf numFmtId="3" fontId="31" fillId="3" borderId="9" xfId="0" applyNumberFormat="1" applyFont="1" applyFill="1" applyBorder="1" applyAlignment="1">
      <alignment horizontal="center" vertical="center" wrapText="1"/>
    </xf>
    <xf numFmtId="0" fontId="14" fillId="0" borderId="40" xfId="0" applyFont="1" applyBorder="1"/>
    <xf numFmtId="3" fontId="30" fillId="0" borderId="9" xfId="0" applyNumberFormat="1" applyFont="1" applyFill="1" applyBorder="1" applyAlignment="1">
      <alignment horizontal="center" wrapText="1"/>
    </xf>
    <xf numFmtId="164" fontId="30" fillId="0" borderId="1" xfId="0" applyNumberFormat="1" applyFont="1" applyFill="1" applyBorder="1" applyAlignment="1">
      <alignment horizontal="center" wrapText="1"/>
    </xf>
    <xf numFmtId="3" fontId="31" fillId="3" borderId="9" xfId="0" applyNumberFormat="1" applyFont="1" applyFill="1" applyBorder="1" applyAlignment="1">
      <alignment horizontal="center" wrapText="1"/>
    </xf>
    <xf numFmtId="164" fontId="31" fillId="3" borderId="1" xfId="0" applyNumberFormat="1" applyFont="1" applyFill="1" applyBorder="1" applyAlignment="1">
      <alignment horizontal="center" wrapText="1"/>
    </xf>
    <xf numFmtId="3" fontId="31" fillId="5" borderId="10" xfId="0" applyNumberFormat="1" applyFont="1" applyFill="1" applyBorder="1" applyAlignment="1">
      <alignment horizontal="center" wrapText="1"/>
    </xf>
    <xf numFmtId="164" fontId="31" fillId="5" borderId="2" xfId="0" applyNumberFormat="1" applyFont="1" applyFill="1" applyBorder="1" applyAlignment="1">
      <alignment horizontal="center" wrapText="1"/>
    </xf>
    <xf numFmtId="0" fontId="4" fillId="0" borderId="44" xfId="0" applyFont="1" applyBorder="1" applyAlignment="1">
      <alignment vertical="top" wrapText="1"/>
    </xf>
    <xf numFmtId="0" fontId="4" fillId="0" borderId="0" xfId="0" applyFont="1" applyAlignment="1">
      <alignment vertical="top" wrapText="1"/>
    </xf>
    <xf numFmtId="0" fontId="5" fillId="0" borderId="0" xfId="0" applyFont="1" applyFill="1" applyAlignment="1">
      <alignment horizontal="center"/>
    </xf>
    <xf numFmtId="0" fontId="0" fillId="0" borderId="0" xfId="0" applyAlignment="1">
      <alignment horizontal="center"/>
    </xf>
    <xf numFmtId="165" fontId="5" fillId="0" borderId="0" xfId="0" applyNumberFormat="1" applyFont="1" applyFill="1" applyAlignment="1"/>
    <xf numFmtId="0" fontId="7" fillId="0" borderId="0" xfId="0" applyFont="1" applyFill="1" applyAlignment="1"/>
    <xf numFmtId="3" fontId="5" fillId="0" borderId="0" xfId="0" applyNumberFormat="1" applyFont="1" applyFill="1" applyAlignment="1"/>
    <xf numFmtId="0" fontId="4" fillId="0" borderId="0" xfId="0" applyFont="1" applyBorder="1" applyAlignment="1">
      <alignment wrapText="1"/>
    </xf>
    <xf numFmtId="0" fontId="4" fillId="0" borderId="0" xfId="0" applyFont="1" applyBorder="1" applyAlignment="1"/>
    <xf numFmtId="0" fontId="2" fillId="0" borderId="0" xfId="0" applyFont="1" applyAlignment="1"/>
    <xf numFmtId="0" fontId="26" fillId="0" borderId="0" xfId="0" applyFont="1" applyFill="1" applyBorder="1" applyAlignment="1">
      <alignment vertical="center" wrapText="1"/>
    </xf>
    <xf numFmtId="0" fontId="2" fillId="0" borderId="0" xfId="0" applyFont="1" applyFill="1" applyBorder="1" applyAlignment="1">
      <alignment wrapText="1"/>
    </xf>
    <xf numFmtId="0" fontId="1" fillId="3" borderId="17" xfId="0" applyFont="1" applyFill="1" applyBorder="1" applyAlignment="1"/>
    <xf numFmtId="0" fontId="1" fillId="3" borderId="5" xfId="0" applyFont="1" applyFill="1" applyBorder="1" applyAlignment="1"/>
    <xf numFmtId="14" fontId="27" fillId="0" borderId="0" xfId="0" applyNumberFormat="1" applyFont="1" applyAlignment="1">
      <alignment horizontal="left"/>
    </xf>
    <xf numFmtId="0" fontId="28" fillId="0" borderId="0" xfId="0" applyFont="1" applyAlignment="1">
      <alignment horizontal="left"/>
    </xf>
    <xf numFmtId="0" fontId="21" fillId="0" borderId="4" xfId="0" applyFont="1" applyBorder="1" applyAlignment="1">
      <alignment wrapText="1"/>
    </xf>
    <xf numFmtId="0" fontId="21" fillId="0" borderId="9" xfId="0" applyFont="1" applyBorder="1" applyAlignment="1">
      <alignment wrapText="1"/>
    </xf>
    <xf numFmtId="0" fontId="8" fillId="2" borderId="11" xfId="0" applyFont="1" applyFill="1" applyBorder="1" applyAlignment="1">
      <alignment vertical="center" wrapText="1"/>
    </xf>
    <xf numFmtId="0" fontId="9" fillId="2" borderId="11" xfId="0" applyFont="1" applyFill="1" applyBorder="1" applyAlignment="1">
      <alignment wrapText="1"/>
    </xf>
    <xf numFmtId="0" fontId="9" fillId="2" borderId="9" xfId="0" applyFont="1" applyFill="1" applyBorder="1" applyAlignment="1">
      <alignment wrapText="1"/>
    </xf>
    <xf numFmtId="0" fontId="6" fillId="0" borderId="3" xfId="0" applyFont="1" applyBorder="1" applyAlignment="1">
      <alignment horizontal="left" wrapText="1"/>
    </xf>
    <xf numFmtId="0" fontId="0" fillId="0" borderId="23" xfId="0" applyBorder="1" applyAlignment="1">
      <alignment horizontal="left" wrapText="1"/>
    </xf>
    <xf numFmtId="0" fontId="0" fillId="0" borderId="23" xfId="0" applyBorder="1" applyAlignment="1">
      <alignment wrapText="1"/>
    </xf>
    <xf numFmtId="0" fontId="6" fillId="0" borderId="33" xfId="0" applyFont="1" applyBorder="1" applyAlignment="1">
      <alignment horizontal="right" vertical="center" wrapText="1"/>
    </xf>
    <xf numFmtId="0" fontId="6" fillId="0" borderId="38" xfId="0" applyFont="1" applyBorder="1" applyAlignment="1">
      <alignment horizontal="right" vertical="center" wrapText="1"/>
    </xf>
    <xf numFmtId="0" fontId="21" fillId="0" borderId="13" xfId="0" applyFont="1" applyBorder="1" applyAlignment="1">
      <alignment wrapText="1"/>
    </xf>
    <xf numFmtId="0" fontId="21" fillId="0" borderId="10" xfId="0" applyFont="1" applyBorder="1" applyAlignment="1">
      <alignment wrapText="1"/>
    </xf>
    <xf numFmtId="49" fontId="4" fillId="0" borderId="41" xfId="0" applyNumberFormat="1" applyFont="1" applyBorder="1" applyAlignment="1">
      <alignment wrapText="1"/>
    </xf>
    <xf numFmtId="49" fontId="4" fillId="0" borderId="22" xfId="0" applyNumberFormat="1" applyFont="1" applyBorder="1" applyAlignment="1">
      <alignment wrapText="1"/>
    </xf>
    <xf numFmtId="49" fontId="4" fillId="0" borderId="3" xfId="0" applyNumberFormat="1" applyFont="1" applyBorder="1" applyAlignment="1">
      <alignment wrapText="1"/>
    </xf>
    <xf numFmtId="0" fontId="21" fillId="0" borderId="4" xfId="0" applyFont="1" applyBorder="1" applyAlignment="1"/>
    <xf numFmtId="0" fontId="21" fillId="0" borderId="9" xfId="0" applyFont="1" applyBorder="1" applyAlignment="1"/>
    <xf numFmtId="0" fontId="21" fillId="0" borderId="16" xfId="0" applyFont="1" applyBorder="1" applyAlignment="1"/>
    <xf numFmtId="0" fontId="21" fillId="0" borderId="11" xfId="0" applyFont="1" applyBorder="1" applyAlignment="1"/>
    <xf numFmtId="49" fontId="4" fillId="0" borderId="45"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16" xfId="0" applyNumberFormat="1" applyFont="1" applyFill="1" applyBorder="1" applyAlignment="1">
      <alignment horizontal="left" vertical="center" wrapText="1"/>
    </xf>
    <xf numFmtId="3" fontId="24" fillId="3" borderId="11" xfId="0" applyNumberFormat="1" applyFont="1" applyFill="1" applyBorder="1" applyAlignment="1">
      <alignment horizontal="center" vertical="center" wrapText="1" readingOrder="1"/>
    </xf>
    <xf numFmtId="1" fontId="14" fillId="0" borderId="0" xfId="0" applyNumberFormat="1" applyFont="1" applyAlignment="1">
      <alignment horizontal="center"/>
    </xf>
    <xf numFmtId="3" fontId="29" fillId="2" borderId="11" xfId="0" applyNumberFormat="1" applyFont="1" applyFill="1" applyBorder="1" applyAlignment="1">
      <alignment horizontal="center" vertical="center" wrapText="1"/>
    </xf>
    <xf numFmtId="3" fontId="14" fillId="0" borderId="23" xfId="0" applyNumberFormat="1" applyFont="1" applyBorder="1" applyAlignment="1">
      <alignment horizontal="center"/>
    </xf>
    <xf numFmtId="164" fontId="25" fillId="3" borderId="1" xfId="0" applyNumberFormat="1" applyFont="1" applyFill="1" applyBorder="1" applyAlignment="1">
      <alignment horizontal="center" vertical="center" wrapText="1"/>
    </xf>
    <xf numFmtId="0" fontId="4" fillId="0" borderId="33" xfId="0" applyFont="1" applyFill="1" applyBorder="1" applyAlignment="1">
      <alignment vertical="center" wrapText="1"/>
    </xf>
    <xf numFmtId="0" fontId="4" fillId="0" borderId="38" xfId="0" applyFont="1" applyFill="1" applyBorder="1" applyAlignment="1">
      <alignment vertical="center" wrapText="1"/>
    </xf>
    <xf numFmtId="164" fontId="31" fillId="0" borderId="7" xfId="0" applyNumberFormat="1" applyFont="1" applyFill="1" applyBorder="1" applyAlignment="1">
      <alignment horizontal="center" vertical="center" wrapText="1"/>
    </xf>
    <xf numFmtId="3" fontId="29" fillId="2" borderId="3" xfId="0" applyNumberFormat="1" applyFont="1" applyFill="1" applyBorder="1" applyAlignment="1">
      <alignment horizontal="center" wrapText="1"/>
    </xf>
    <xf numFmtId="164" fontId="29" fillId="2" borderId="12" xfId="0" applyNumberFormat="1" applyFont="1" applyFill="1" applyBorder="1" applyAlignment="1">
      <alignment horizontal="center" wrapText="1"/>
    </xf>
    <xf numFmtId="3" fontId="25" fillId="2" borderId="3" xfId="0" applyNumberFormat="1" applyFont="1" applyFill="1" applyBorder="1" applyAlignment="1">
      <alignment horizontal="center" wrapText="1"/>
    </xf>
    <xf numFmtId="166" fontId="25" fillId="3" borderId="9" xfId="0" applyNumberFormat="1" applyFont="1" applyFill="1" applyBorder="1" applyAlignment="1">
      <alignment horizontal="center" vertical="center" wrapText="1" readingOrder="1"/>
    </xf>
    <xf numFmtId="166" fontId="29" fillId="0" borderId="10" xfId="0" applyNumberFormat="1" applyFont="1" applyFill="1" applyBorder="1" applyAlignment="1">
      <alignment horizontal="center" vertical="center" wrapText="1" readingOrder="1"/>
    </xf>
    <xf numFmtId="164" fontId="29" fillId="2" borderId="2" xfId="0" applyNumberFormat="1" applyFont="1" applyFill="1" applyBorder="1" applyAlignment="1">
      <alignment horizontal="center" vertical="center" wrapText="1"/>
    </xf>
    <xf numFmtId="164" fontId="31" fillId="2" borderId="1" xfId="0" applyNumberFormat="1" applyFont="1" applyFill="1" applyBorder="1" applyAlignment="1">
      <alignment horizontal="center" wrapText="1"/>
    </xf>
    <xf numFmtId="3" fontId="29" fillId="2" borderId="11" xfId="0" applyNumberFormat="1" applyFont="1" applyFill="1" applyBorder="1" applyAlignment="1">
      <alignment horizontal="center" wrapText="1"/>
    </xf>
    <xf numFmtId="0" fontId="4" fillId="0" borderId="41" xfId="0" applyFont="1" applyFill="1" applyBorder="1" applyAlignment="1">
      <alignment vertical="center" wrapText="1"/>
    </xf>
    <xf numFmtId="0" fontId="4" fillId="0" borderId="22" xfId="0" applyFont="1" applyFill="1" applyBorder="1" applyAlignment="1">
      <alignment vertical="center" wrapText="1"/>
    </xf>
    <xf numFmtId="0" fontId="4" fillId="0" borderId="14" xfId="0" applyFont="1" applyFill="1" applyBorder="1" applyAlignment="1">
      <alignment vertical="center" wrapText="1"/>
    </xf>
    <xf numFmtId="3" fontId="14" fillId="0" borderId="0" xfId="0" applyNumberFormat="1" applyFont="1" applyFill="1" applyAlignment="1">
      <alignment horizontal="center"/>
    </xf>
    <xf numFmtId="3" fontId="29" fillId="0" borderId="11" xfId="0" applyNumberFormat="1" applyFont="1" applyFill="1" applyBorder="1" applyAlignment="1">
      <alignment horizontal="center" vertical="center" wrapText="1"/>
    </xf>
    <xf numFmtId="164" fontId="29" fillId="0" borderId="12" xfId="0" applyNumberFormat="1" applyFont="1" applyFill="1" applyBorder="1" applyAlignment="1">
      <alignment horizontal="center" vertical="center" wrapText="1"/>
    </xf>
    <xf numFmtId="3" fontId="31" fillId="2" borderId="14" xfId="0" applyNumberFormat="1" applyFont="1" applyFill="1" applyBorder="1" applyAlignment="1">
      <alignment horizontal="center" wrapText="1"/>
    </xf>
    <xf numFmtId="164" fontId="14" fillId="0" borderId="10" xfId="0" applyNumberFormat="1" applyFont="1" applyBorder="1" applyAlignment="1">
      <alignment horizontal="center"/>
    </xf>
  </cellXfs>
  <cellStyles count="3">
    <cellStyle name="Normal" xfId="0" builtinId="0"/>
    <cellStyle name="Normal 2" xfId="1"/>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abSelected="1" view="pageBreakPreview" zoomScaleNormal="100" zoomScaleSheetLayoutView="100" workbookViewId="0">
      <selection activeCell="C34" sqref="C34"/>
    </sheetView>
  </sheetViews>
  <sheetFormatPr defaultRowHeight="12.75" x14ac:dyDescent="0.2"/>
  <cols>
    <col min="1" max="1" width="22.7109375" customWidth="1"/>
    <col min="2" max="2" width="10.28515625" style="7" customWidth="1"/>
    <col min="3" max="3" width="10.42578125" style="7" customWidth="1"/>
    <col min="4" max="4" width="8.5703125" style="8" customWidth="1"/>
    <col min="5" max="5" width="9.42578125" style="8" customWidth="1"/>
    <col min="6" max="6" width="0.85546875" style="16" customWidth="1"/>
    <col min="7" max="7" width="22.5703125" customWidth="1"/>
    <col min="8" max="8" width="9.85546875" style="10" customWidth="1"/>
    <col min="9" max="9" width="10.7109375" style="10" customWidth="1"/>
    <col min="10" max="10" width="7.7109375" style="8" customWidth="1"/>
    <col min="11" max="11" width="8.5703125" style="8" customWidth="1"/>
    <col min="12" max="12" width="34.85546875" style="4" customWidth="1"/>
    <col min="13" max="13" width="3.28515625" customWidth="1"/>
  </cols>
  <sheetData>
    <row r="1" spans="1:12" s="2" customFormat="1" ht="18" x14ac:dyDescent="0.25">
      <c r="A1" s="2" t="s">
        <v>68</v>
      </c>
      <c r="B1" s="158" t="s">
        <v>32</v>
      </c>
      <c r="C1" s="159"/>
      <c r="D1" s="159"/>
      <c r="E1" s="6"/>
      <c r="F1" s="14"/>
      <c r="G1" s="170" t="s">
        <v>74</v>
      </c>
      <c r="H1" s="171"/>
      <c r="I1" s="171"/>
      <c r="J1" s="171"/>
      <c r="K1" s="171"/>
      <c r="L1" s="171"/>
    </row>
    <row r="2" spans="1:12" s="3" customFormat="1" ht="16.5" customHeight="1" thickBot="1" x14ac:dyDescent="0.3">
      <c r="A2" s="160" t="s">
        <v>4</v>
      </c>
      <c r="B2" s="161"/>
      <c r="C2" s="161"/>
      <c r="D2" s="61"/>
      <c r="E2" s="61"/>
      <c r="F2" s="15"/>
      <c r="G2" s="162" t="s">
        <v>5</v>
      </c>
      <c r="H2" s="161"/>
      <c r="I2" s="161"/>
      <c r="J2" s="161"/>
      <c r="K2" s="72"/>
      <c r="L2" s="73"/>
    </row>
    <row r="3" spans="1:12" s="1" customFormat="1" ht="15.75" thickBot="1" x14ac:dyDescent="0.3">
      <c r="A3" s="55" t="s">
        <v>2</v>
      </c>
      <c r="B3" s="56" t="s">
        <v>73</v>
      </c>
      <c r="C3" s="56" t="s">
        <v>69</v>
      </c>
      <c r="D3" s="60" t="s">
        <v>0</v>
      </c>
      <c r="E3" s="58" t="s">
        <v>1</v>
      </c>
      <c r="F3" s="48"/>
      <c r="G3" s="55" t="s">
        <v>2</v>
      </c>
      <c r="H3" s="56" t="s">
        <v>73</v>
      </c>
      <c r="I3" s="56" t="s">
        <v>69</v>
      </c>
      <c r="J3" s="57" t="s">
        <v>0</v>
      </c>
      <c r="K3" s="58" t="s">
        <v>1</v>
      </c>
      <c r="L3" s="22" t="s">
        <v>36</v>
      </c>
    </row>
    <row r="4" spans="1:12" ht="15" x14ac:dyDescent="0.25">
      <c r="A4" s="59" t="s">
        <v>19</v>
      </c>
      <c r="B4" s="62">
        <v>469</v>
      </c>
      <c r="C4" s="195">
        <v>466</v>
      </c>
      <c r="D4" s="196">
        <f>C4-B4</f>
        <v>-3</v>
      </c>
      <c r="E4" s="79">
        <f>D4/C4</f>
        <v>-6.4377682403433476E-3</v>
      </c>
      <c r="F4" s="23"/>
      <c r="G4" s="54" t="s">
        <v>19</v>
      </c>
      <c r="H4" s="53">
        <f>89+5</f>
        <v>94</v>
      </c>
      <c r="I4" s="53">
        <v>40</v>
      </c>
      <c r="J4" s="209">
        <f>I4-H4</f>
        <v>-54</v>
      </c>
      <c r="K4" s="203">
        <f>J4/H4</f>
        <v>-0.57446808510638303</v>
      </c>
      <c r="L4" s="114" t="s">
        <v>78</v>
      </c>
    </row>
    <row r="5" spans="1:12" ht="15" x14ac:dyDescent="0.25">
      <c r="A5" s="24" t="s">
        <v>20</v>
      </c>
      <c r="B5" s="62">
        <v>4142</v>
      </c>
      <c r="C5" s="197">
        <v>4411</v>
      </c>
      <c r="D5" s="147">
        <f t="shared" ref="D5:D23" si="0">C5-B5</f>
        <v>269</v>
      </c>
      <c r="E5" s="142">
        <f t="shared" ref="E5:E23" si="1">D5/C5</f>
        <v>6.0983903876671956E-2</v>
      </c>
      <c r="F5" s="23"/>
      <c r="G5" s="18" t="s">
        <v>20</v>
      </c>
      <c r="H5" s="53">
        <f>376+10</f>
        <v>386</v>
      </c>
      <c r="I5" s="53">
        <f>381+4</f>
        <v>385</v>
      </c>
      <c r="J5" s="74">
        <f t="shared" ref="J5:J27" si="2">I5-H5</f>
        <v>-1</v>
      </c>
      <c r="K5" s="77">
        <f t="shared" ref="K5:K27" si="3">J5/H5</f>
        <v>-2.5906735751295338E-3</v>
      </c>
      <c r="L5" s="114" t="s">
        <v>80</v>
      </c>
    </row>
    <row r="6" spans="1:12" ht="15" x14ac:dyDescent="0.25">
      <c r="A6" s="24" t="s">
        <v>24</v>
      </c>
      <c r="B6" s="62">
        <f>6570+9080</f>
        <v>15650</v>
      </c>
      <c r="C6" s="137">
        <f>6733+9455</f>
        <v>16188</v>
      </c>
      <c r="D6" s="147">
        <f t="shared" si="0"/>
        <v>538</v>
      </c>
      <c r="E6" s="142">
        <f t="shared" si="1"/>
        <v>3.3234494687422782E-2</v>
      </c>
      <c r="F6" s="23"/>
      <c r="G6" s="18" t="s">
        <v>24</v>
      </c>
      <c r="H6" s="53">
        <f>639+832</f>
        <v>1471</v>
      </c>
      <c r="I6" s="53">
        <f>689+881</f>
        <v>1570</v>
      </c>
      <c r="J6" s="75">
        <f t="shared" si="2"/>
        <v>99</v>
      </c>
      <c r="K6" s="78">
        <f t="shared" si="3"/>
        <v>6.7301155676410609E-2</v>
      </c>
      <c r="L6" s="115" t="s">
        <v>92</v>
      </c>
    </row>
    <row r="7" spans="1:12" ht="15.75" customHeight="1" x14ac:dyDescent="0.25">
      <c r="A7" s="24" t="s">
        <v>48</v>
      </c>
      <c r="B7" s="62">
        <v>12941</v>
      </c>
      <c r="C7" s="197">
        <f>12288+3</f>
        <v>12291</v>
      </c>
      <c r="D7" s="196">
        <f t="shared" si="0"/>
        <v>-650</v>
      </c>
      <c r="E7" s="79">
        <f t="shared" si="1"/>
        <v>-5.2884224229110731E-2</v>
      </c>
      <c r="F7" s="23"/>
      <c r="G7" s="24" t="s">
        <v>48</v>
      </c>
      <c r="H7" s="53">
        <f>5+894</f>
        <v>899</v>
      </c>
      <c r="I7" s="53">
        <f>1+851</f>
        <v>852</v>
      </c>
      <c r="J7" s="138">
        <f t="shared" si="2"/>
        <v>-47</v>
      </c>
      <c r="K7" s="139">
        <f t="shared" si="3"/>
        <v>-5.2280311457174641E-2</v>
      </c>
      <c r="L7" s="115" t="s">
        <v>81</v>
      </c>
    </row>
    <row r="8" spans="1:12" ht="15" x14ac:dyDescent="0.25">
      <c r="A8" s="24" t="s">
        <v>35</v>
      </c>
      <c r="B8" s="62">
        <v>6374</v>
      </c>
      <c r="C8" s="137">
        <v>5548</v>
      </c>
      <c r="D8" s="196">
        <f t="shared" si="0"/>
        <v>-826</v>
      </c>
      <c r="E8" s="79">
        <f t="shared" si="1"/>
        <v>-0.14888248017303532</v>
      </c>
      <c r="F8" s="23"/>
      <c r="G8" s="18" t="s">
        <v>35</v>
      </c>
      <c r="H8" s="53">
        <v>452</v>
      </c>
      <c r="I8" s="53">
        <v>427</v>
      </c>
      <c r="J8" s="74">
        <f t="shared" si="2"/>
        <v>-25</v>
      </c>
      <c r="K8" s="77">
        <f t="shared" si="3"/>
        <v>-5.5309734513274339E-2</v>
      </c>
      <c r="L8" s="115" t="s">
        <v>82</v>
      </c>
    </row>
    <row r="9" spans="1:12" ht="15" x14ac:dyDescent="0.25">
      <c r="A9" s="24" t="s">
        <v>46</v>
      </c>
      <c r="B9" s="62">
        <v>5925</v>
      </c>
      <c r="C9" s="197">
        <v>6389</v>
      </c>
      <c r="D9" s="147">
        <f t="shared" si="0"/>
        <v>464</v>
      </c>
      <c r="E9" s="142">
        <f t="shared" si="1"/>
        <v>7.2624823916105807E-2</v>
      </c>
      <c r="F9" s="23"/>
      <c r="G9" s="24" t="s">
        <v>46</v>
      </c>
      <c r="H9" s="53">
        <f>559+2</f>
        <v>561</v>
      </c>
      <c r="I9" s="53">
        <f>611+3</f>
        <v>614</v>
      </c>
      <c r="J9" s="150">
        <f t="shared" si="2"/>
        <v>53</v>
      </c>
      <c r="K9" s="151">
        <f t="shared" si="3"/>
        <v>9.4474153297682703E-2</v>
      </c>
      <c r="L9" s="115" t="s">
        <v>83</v>
      </c>
    </row>
    <row r="10" spans="1:12" ht="15" x14ac:dyDescent="0.25">
      <c r="A10" s="24" t="s">
        <v>72</v>
      </c>
      <c r="B10" s="62">
        <v>12588.5</v>
      </c>
      <c r="C10" s="213">
        <f>12587+1609.5</f>
        <v>14196.5</v>
      </c>
      <c r="D10" s="214">
        <f t="shared" si="0"/>
        <v>1608</v>
      </c>
      <c r="E10" s="215">
        <f t="shared" si="1"/>
        <v>0.11326735462966224</v>
      </c>
      <c r="F10" s="23"/>
      <c r="G10" s="18" t="s">
        <v>72</v>
      </c>
      <c r="H10" s="53">
        <v>912</v>
      </c>
      <c r="I10" s="53">
        <f>813+255</f>
        <v>1068</v>
      </c>
      <c r="J10" s="150">
        <f t="shared" si="2"/>
        <v>156</v>
      </c>
      <c r="K10" s="151">
        <f t="shared" si="3"/>
        <v>0.17105263157894737</v>
      </c>
      <c r="L10" s="115" t="s">
        <v>79</v>
      </c>
    </row>
    <row r="11" spans="1:12" ht="14.25" customHeight="1" x14ac:dyDescent="0.25">
      <c r="A11" s="24" t="s">
        <v>33</v>
      </c>
      <c r="B11" s="62">
        <v>8351.5</v>
      </c>
      <c r="C11" s="197">
        <v>8130</v>
      </c>
      <c r="D11" s="196">
        <f t="shared" si="0"/>
        <v>-221.5</v>
      </c>
      <c r="E11" s="79">
        <f t="shared" si="1"/>
        <v>-2.7244772447724476E-2</v>
      </c>
      <c r="F11" s="23"/>
      <c r="G11" s="18" t="s">
        <v>33</v>
      </c>
      <c r="H11" s="53">
        <v>679</v>
      </c>
      <c r="I11" s="53">
        <v>655</v>
      </c>
      <c r="J11" s="74">
        <f t="shared" si="2"/>
        <v>-24</v>
      </c>
      <c r="K11" s="77">
        <f t="shared" si="3"/>
        <v>-3.5346097201767304E-2</v>
      </c>
      <c r="L11" s="115" t="s">
        <v>84</v>
      </c>
    </row>
    <row r="12" spans="1:12" ht="15" x14ac:dyDescent="0.25">
      <c r="A12" s="24" t="s">
        <v>47</v>
      </c>
      <c r="B12" s="62">
        <v>27669</v>
      </c>
      <c r="C12" s="137">
        <v>28287</v>
      </c>
      <c r="D12" s="147">
        <f t="shared" si="0"/>
        <v>618</v>
      </c>
      <c r="E12" s="142">
        <f t="shared" si="1"/>
        <v>2.1847491780676635E-2</v>
      </c>
      <c r="F12" s="23"/>
      <c r="G12" s="18" t="s">
        <v>47</v>
      </c>
      <c r="H12" s="53">
        <f>853+2</f>
        <v>855</v>
      </c>
      <c r="I12" s="53">
        <v>937</v>
      </c>
      <c r="J12" s="150">
        <f t="shared" si="2"/>
        <v>82</v>
      </c>
      <c r="K12" s="151">
        <f t="shared" si="3"/>
        <v>9.5906432748538009E-2</v>
      </c>
      <c r="L12" s="115" t="s">
        <v>85</v>
      </c>
    </row>
    <row r="13" spans="1:12" ht="15" customHeight="1" x14ac:dyDescent="0.25">
      <c r="A13" s="24" t="s">
        <v>38</v>
      </c>
      <c r="B13" s="62">
        <v>2044</v>
      </c>
      <c r="C13" s="197">
        <v>2593</v>
      </c>
      <c r="D13" s="147">
        <f t="shared" si="0"/>
        <v>549</v>
      </c>
      <c r="E13" s="142">
        <f t="shared" si="1"/>
        <v>0.21172387196297723</v>
      </c>
      <c r="F13" s="23"/>
      <c r="G13" s="18" t="s">
        <v>38</v>
      </c>
      <c r="H13" s="53">
        <v>127</v>
      </c>
      <c r="I13" s="53">
        <v>185</v>
      </c>
      <c r="J13" s="150">
        <f t="shared" si="2"/>
        <v>58</v>
      </c>
      <c r="K13" s="151">
        <f t="shared" si="3"/>
        <v>0.45669291338582679</v>
      </c>
      <c r="L13" s="116" t="s">
        <v>86</v>
      </c>
    </row>
    <row r="14" spans="1:12" ht="14.25" customHeight="1" x14ac:dyDescent="0.25">
      <c r="A14" s="24" t="s">
        <v>21</v>
      </c>
      <c r="B14" s="62">
        <v>8136</v>
      </c>
      <c r="C14" s="137">
        <v>8468</v>
      </c>
      <c r="D14" s="147">
        <f t="shared" si="0"/>
        <v>332</v>
      </c>
      <c r="E14" s="142">
        <f t="shared" si="1"/>
        <v>3.920642418516769E-2</v>
      </c>
      <c r="F14" s="23"/>
      <c r="G14" s="18" t="s">
        <v>21</v>
      </c>
      <c r="H14" s="53">
        <f>749+10</f>
        <v>759</v>
      </c>
      <c r="I14" s="53">
        <f>765+11</f>
        <v>776</v>
      </c>
      <c r="J14" s="75">
        <f t="shared" si="2"/>
        <v>17</v>
      </c>
      <c r="K14" s="78">
        <f t="shared" si="3"/>
        <v>2.2397891963109356E-2</v>
      </c>
      <c r="L14" s="116" t="s">
        <v>87</v>
      </c>
    </row>
    <row r="15" spans="1:12" ht="15" x14ac:dyDescent="0.25">
      <c r="A15" s="24" t="s">
        <v>40</v>
      </c>
      <c r="B15" s="62">
        <v>675</v>
      </c>
      <c r="C15" s="197">
        <v>507</v>
      </c>
      <c r="D15" s="196">
        <f t="shared" si="0"/>
        <v>-168</v>
      </c>
      <c r="E15" s="79">
        <f t="shared" si="1"/>
        <v>-0.33136094674556216</v>
      </c>
      <c r="F15" s="23"/>
      <c r="G15" s="25" t="s">
        <v>40</v>
      </c>
      <c r="H15" s="53">
        <f>31+38</f>
        <v>69</v>
      </c>
      <c r="I15" s="53">
        <f>32+33</f>
        <v>65</v>
      </c>
      <c r="J15" s="74">
        <f t="shared" si="2"/>
        <v>-4</v>
      </c>
      <c r="K15" s="77">
        <f t="shared" si="3"/>
        <v>-5.7971014492753624E-2</v>
      </c>
      <c r="L15" s="115" t="s">
        <v>88</v>
      </c>
    </row>
    <row r="16" spans="1:12" ht="15" customHeight="1" x14ac:dyDescent="0.25">
      <c r="A16" s="24" t="s">
        <v>3</v>
      </c>
      <c r="B16" s="62">
        <v>4789</v>
      </c>
      <c r="C16" s="137">
        <v>4569</v>
      </c>
      <c r="D16" s="196">
        <f t="shared" si="0"/>
        <v>-220</v>
      </c>
      <c r="E16" s="79">
        <f t="shared" si="1"/>
        <v>-4.8150579995622673E-2</v>
      </c>
      <c r="F16" s="23"/>
      <c r="G16" s="18" t="s">
        <v>3</v>
      </c>
      <c r="H16" s="53">
        <v>436</v>
      </c>
      <c r="I16" s="53">
        <v>424</v>
      </c>
      <c r="J16" s="74">
        <f t="shared" si="2"/>
        <v>-12</v>
      </c>
      <c r="K16" s="77">
        <f t="shared" si="3"/>
        <v>-2.7522935779816515E-2</v>
      </c>
      <c r="L16" s="115" t="s">
        <v>89</v>
      </c>
    </row>
    <row r="17" spans="1:12" ht="15" x14ac:dyDescent="0.25">
      <c r="A17" s="18" t="s">
        <v>37</v>
      </c>
      <c r="B17" s="62">
        <v>3937</v>
      </c>
      <c r="C17" s="197">
        <v>4461</v>
      </c>
      <c r="D17" s="147">
        <f t="shared" si="0"/>
        <v>524</v>
      </c>
      <c r="E17" s="142">
        <f t="shared" si="1"/>
        <v>0.1174624523649406</v>
      </c>
      <c r="F17" s="23"/>
      <c r="G17" s="18" t="s">
        <v>37</v>
      </c>
      <c r="H17" s="53">
        <f>264+9</f>
        <v>273</v>
      </c>
      <c r="I17" s="53">
        <f>281+17</f>
        <v>298</v>
      </c>
      <c r="J17" s="75">
        <f t="shared" si="2"/>
        <v>25</v>
      </c>
      <c r="K17" s="78">
        <f t="shared" si="3"/>
        <v>9.1575091575091569E-2</v>
      </c>
      <c r="L17" s="115" t="s">
        <v>90</v>
      </c>
    </row>
    <row r="18" spans="1:12" ht="15" x14ac:dyDescent="0.25">
      <c r="A18" s="24" t="s">
        <v>22</v>
      </c>
      <c r="B18" s="62">
        <v>41415</v>
      </c>
      <c r="C18" s="137">
        <v>42706</v>
      </c>
      <c r="D18" s="147">
        <f t="shared" si="0"/>
        <v>1291</v>
      </c>
      <c r="E18" s="142">
        <f t="shared" si="1"/>
        <v>3.0229944270125979E-2</v>
      </c>
      <c r="F18" s="23"/>
      <c r="G18" s="18" t="s">
        <v>22</v>
      </c>
      <c r="H18" s="53">
        <f>1+64+1667</f>
        <v>1732</v>
      </c>
      <c r="I18" s="53">
        <f>4+63+1729</f>
        <v>1796</v>
      </c>
      <c r="J18" s="75">
        <f t="shared" si="2"/>
        <v>64</v>
      </c>
      <c r="K18" s="78">
        <f t="shared" si="3"/>
        <v>3.695150115473441E-2</v>
      </c>
      <c r="L18" s="115" t="s">
        <v>91</v>
      </c>
    </row>
    <row r="19" spans="1:12" ht="15.75" customHeight="1" x14ac:dyDescent="0.25">
      <c r="A19" s="24" t="s">
        <v>41</v>
      </c>
      <c r="B19" s="62">
        <f>6650+83</f>
        <v>6733</v>
      </c>
      <c r="C19" s="197">
        <f>7294+65</f>
        <v>7359</v>
      </c>
      <c r="D19" s="147">
        <f t="shared" si="0"/>
        <v>626</v>
      </c>
      <c r="E19" s="142">
        <f t="shared" si="1"/>
        <v>8.506590569370838E-2</v>
      </c>
      <c r="F19" s="23"/>
      <c r="G19" s="18" t="s">
        <v>41</v>
      </c>
      <c r="H19" s="53">
        <f>608+3+5</f>
        <v>616</v>
      </c>
      <c r="I19" s="53">
        <f>691+4+4</f>
        <v>699</v>
      </c>
      <c r="J19" s="75">
        <f t="shared" si="2"/>
        <v>83</v>
      </c>
      <c r="K19" s="78">
        <f t="shared" si="3"/>
        <v>0.13474025974025974</v>
      </c>
      <c r="L19" s="115" t="s">
        <v>93</v>
      </c>
    </row>
    <row r="20" spans="1:12" ht="15" x14ac:dyDescent="0.25">
      <c r="A20" s="24" t="s">
        <v>43</v>
      </c>
      <c r="B20" s="62">
        <v>3</v>
      </c>
      <c r="C20" s="137">
        <v>36</v>
      </c>
      <c r="D20" s="147">
        <f t="shared" si="0"/>
        <v>33</v>
      </c>
      <c r="E20" s="142">
        <f t="shared" si="1"/>
        <v>0.91666666666666663</v>
      </c>
      <c r="F20" s="23"/>
      <c r="G20" s="18" t="s">
        <v>70</v>
      </c>
      <c r="H20" s="53">
        <v>15</v>
      </c>
      <c r="I20" s="53">
        <v>10</v>
      </c>
      <c r="J20" s="138">
        <f t="shared" si="2"/>
        <v>-5</v>
      </c>
      <c r="K20" s="139">
        <f t="shared" si="3"/>
        <v>-0.33333333333333331</v>
      </c>
      <c r="L20" s="115" t="s">
        <v>94</v>
      </c>
    </row>
    <row r="21" spans="1:12" ht="15" customHeight="1" x14ac:dyDescent="0.25">
      <c r="A21" s="24" t="s">
        <v>7</v>
      </c>
      <c r="B21" s="62">
        <v>12</v>
      </c>
      <c r="C21" s="197">
        <v>36</v>
      </c>
      <c r="D21" s="147">
        <f t="shared" si="0"/>
        <v>24</v>
      </c>
      <c r="E21" s="142">
        <f t="shared" si="1"/>
        <v>0.66666666666666663</v>
      </c>
      <c r="F21" s="23"/>
      <c r="G21" s="18" t="s">
        <v>23</v>
      </c>
      <c r="H21" s="53">
        <v>2559</v>
      </c>
      <c r="I21" s="53">
        <v>2501</v>
      </c>
      <c r="J21" s="124">
        <f t="shared" si="2"/>
        <v>-58</v>
      </c>
      <c r="K21" s="80">
        <f t="shared" si="3"/>
        <v>-2.2665103556076593E-2</v>
      </c>
      <c r="L21" s="117" t="s">
        <v>95</v>
      </c>
    </row>
    <row r="22" spans="1:12" ht="15" customHeight="1" x14ac:dyDescent="0.25">
      <c r="A22" s="38" t="s">
        <v>23</v>
      </c>
      <c r="B22" s="62">
        <v>50</v>
      </c>
      <c r="C22" s="137">
        <v>56</v>
      </c>
      <c r="D22" s="147">
        <f t="shared" si="0"/>
        <v>6</v>
      </c>
      <c r="E22" s="142">
        <f t="shared" si="1"/>
        <v>0.10714285714285714</v>
      </c>
      <c r="F22" s="104"/>
      <c r="G22" s="149" t="s">
        <v>67</v>
      </c>
      <c r="H22" s="53">
        <v>3</v>
      </c>
      <c r="I22" s="53">
        <v>1</v>
      </c>
      <c r="J22" s="74">
        <f t="shared" ref="J22" si="4">I22-H22</f>
        <v>-2</v>
      </c>
      <c r="K22" s="80">
        <f t="shared" si="3"/>
        <v>-0.66666666666666663</v>
      </c>
      <c r="L22" s="117" t="s">
        <v>96</v>
      </c>
    </row>
    <row r="23" spans="1:12" ht="15" customHeight="1" x14ac:dyDescent="0.25">
      <c r="A23" s="38" t="s">
        <v>63</v>
      </c>
      <c r="B23" s="119">
        <v>52</v>
      </c>
      <c r="C23" s="197">
        <v>243</v>
      </c>
      <c r="D23" s="147">
        <f t="shared" si="0"/>
        <v>191</v>
      </c>
      <c r="E23" s="142">
        <f t="shared" si="1"/>
        <v>0.78600823045267487</v>
      </c>
      <c r="F23" s="104"/>
      <c r="H23" s="53"/>
      <c r="I23" s="53"/>
      <c r="J23" s="74"/>
      <c r="K23" s="77"/>
      <c r="L23" s="118"/>
    </row>
    <row r="24" spans="1:12" ht="14.25" customHeight="1" x14ac:dyDescent="0.25">
      <c r="A24" s="39" t="s">
        <v>31</v>
      </c>
      <c r="B24" s="63">
        <f>SUM(B4:B23)</f>
        <v>161956</v>
      </c>
      <c r="C24" s="194">
        <f>SUM(C4:C23)</f>
        <v>166940.5</v>
      </c>
      <c r="D24" s="148">
        <f>C24-B24</f>
        <v>4984.5</v>
      </c>
      <c r="E24" s="109">
        <f>D24/B24</f>
        <v>3.0776877670478403E-2</v>
      </c>
      <c r="F24" s="121"/>
      <c r="G24" s="120" t="s">
        <v>66</v>
      </c>
      <c r="H24" s="52">
        <f>SUM(H4:H22)</f>
        <v>12898</v>
      </c>
      <c r="I24" s="52">
        <f>SUM(I4:I22)</f>
        <v>13303</v>
      </c>
      <c r="J24" s="152">
        <f>I24-H24</f>
        <v>405</v>
      </c>
      <c r="K24" s="153">
        <f>J24/H24</f>
        <v>3.1400217087920609E-2</v>
      </c>
      <c r="L24" s="71"/>
    </row>
    <row r="25" spans="1:12" ht="14.25" customHeight="1" x14ac:dyDescent="0.25">
      <c r="A25" s="36" t="s">
        <v>75</v>
      </c>
      <c r="B25" s="112">
        <v>5666.5</v>
      </c>
      <c r="C25" s="113">
        <v>6130</v>
      </c>
      <c r="D25" s="132">
        <f>C25-B25</f>
        <v>463.5</v>
      </c>
      <c r="E25" s="201">
        <f>D25/B25</f>
        <v>8.1796523427159623E-2</v>
      </c>
      <c r="F25" s="26"/>
      <c r="G25" s="36" t="s">
        <v>75</v>
      </c>
      <c r="H25" s="65">
        <v>456</v>
      </c>
      <c r="I25" s="65">
        <v>479</v>
      </c>
      <c r="J25" s="129">
        <f>I25-H25</f>
        <v>23</v>
      </c>
      <c r="K25" s="208">
        <f>J25/H25</f>
        <v>5.0438596491228067E-2</v>
      </c>
      <c r="L25" s="21"/>
    </row>
    <row r="26" spans="1:12" ht="14.25" customHeight="1" x14ac:dyDescent="0.25">
      <c r="A26" s="105" t="s">
        <v>49</v>
      </c>
      <c r="B26" s="47">
        <v>3766</v>
      </c>
      <c r="C26" s="47">
        <v>5778</v>
      </c>
      <c r="D26" s="132">
        <f>C26-B26</f>
        <v>2012</v>
      </c>
      <c r="E26" s="201">
        <f>D26/B26</f>
        <v>0.53425385023898031</v>
      </c>
      <c r="F26" s="104"/>
      <c r="G26" s="105" t="s">
        <v>49</v>
      </c>
      <c r="H26" s="126">
        <v>287</v>
      </c>
      <c r="I26" s="127">
        <v>452</v>
      </c>
      <c r="J26" s="129">
        <f>I26-H26</f>
        <v>165</v>
      </c>
      <c r="K26" s="130" t="s">
        <v>45</v>
      </c>
      <c r="L26" s="35"/>
    </row>
    <row r="27" spans="1:12" ht="18" customHeight="1" thickBot="1" x14ac:dyDescent="0.3">
      <c r="A27" s="100" t="s">
        <v>44</v>
      </c>
      <c r="B27" s="101">
        <f>SUM(B24:B26)</f>
        <v>171388.5</v>
      </c>
      <c r="C27" s="101">
        <f>SUM(C24:C26)</f>
        <v>178848.5</v>
      </c>
      <c r="D27" s="122">
        <f>C27-B27</f>
        <v>7460</v>
      </c>
      <c r="E27" s="123">
        <f>D27/B27</f>
        <v>4.3526841065765792E-2</v>
      </c>
      <c r="F27" s="27"/>
      <c r="G27" s="37" t="s">
        <v>44</v>
      </c>
      <c r="H27" s="64">
        <f>SUM(H24:H26)</f>
        <v>13641</v>
      </c>
      <c r="I27" s="64">
        <f>SUM(I24:I26)</f>
        <v>14234</v>
      </c>
      <c r="J27" s="154">
        <f t="shared" si="2"/>
        <v>593</v>
      </c>
      <c r="K27" s="155">
        <f t="shared" si="3"/>
        <v>4.3471886225350045E-2</v>
      </c>
      <c r="L27" s="184" t="s">
        <v>71</v>
      </c>
    </row>
    <row r="28" spans="1:12" ht="14.25" customHeight="1" thickTop="1" x14ac:dyDescent="0.2">
      <c r="A28" s="166"/>
      <c r="B28" s="167"/>
      <c r="C28" s="167"/>
      <c r="D28" s="167"/>
      <c r="E28" s="167"/>
      <c r="F28" s="28"/>
      <c r="G28" s="174"/>
      <c r="H28" s="175"/>
      <c r="I28" s="175"/>
      <c r="J28" s="175"/>
      <c r="K28" s="175"/>
      <c r="L28" s="185"/>
    </row>
    <row r="29" spans="1:12" s="13" customFormat="1" ht="13.5" customHeight="1" x14ac:dyDescent="0.2">
      <c r="A29" s="163" t="s">
        <v>10</v>
      </c>
      <c r="B29" s="164"/>
      <c r="C29" s="164"/>
      <c r="D29" s="164"/>
      <c r="E29" s="164"/>
      <c r="F29" s="17"/>
      <c r="G29" s="176"/>
      <c r="H29" s="176"/>
      <c r="I29" s="176"/>
      <c r="J29" s="176"/>
      <c r="K29" s="176"/>
      <c r="L29" s="186"/>
    </row>
    <row r="30" spans="1:12" ht="10.5" customHeight="1" thickBot="1" x14ac:dyDescent="0.25">
      <c r="A30" s="163"/>
      <c r="B30" s="165"/>
      <c r="C30" s="165"/>
      <c r="D30" s="165"/>
      <c r="E30" s="165"/>
      <c r="F30" s="17"/>
      <c r="G30" s="176"/>
      <c r="H30" s="176"/>
      <c r="I30" s="176"/>
      <c r="J30" s="176"/>
      <c r="K30" s="176"/>
      <c r="L30" s="210" t="s">
        <v>97</v>
      </c>
    </row>
    <row r="31" spans="1:12" s="13" customFormat="1" ht="13.5" customHeight="1" thickBot="1" x14ac:dyDescent="0.25">
      <c r="A31" s="82" t="s">
        <v>61</v>
      </c>
      <c r="B31" s="19">
        <v>2018</v>
      </c>
      <c r="C31" s="19">
        <v>2019</v>
      </c>
      <c r="D31" s="98" t="s">
        <v>0</v>
      </c>
      <c r="E31" s="99" t="s">
        <v>1</v>
      </c>
      <c r="F31" s="28"/>
      <c r="G31" s="67" t="s">
        <v>59</v>
      </c>
      <c r="H31" s="19">
        <v>2018</v>
      </c>
      <c r="I31" s="19">
        <v>2019</v>
      </c>
      <c r="J31" s="19" t="s">
        <v>0</v>
      </c>
      <c r="K31" s="20" t="s">
        <v>1</v>
      </c>
      <c r="L31" s="211"/>
    </row>
    <row r="32" spans="1:12" ht="17.25" customHeight="1" x14ac:dyDescent="0.25">
      <c r="A32" s="85" t="s">
        <v>26</v>
      </c>
      <c r="B32" s="97">
        <f>45+7+21+1973</f>
        <v>2046</v>
      </c>
      <c r="C32" s="66">
        <f>2667+72</f>
        <v>2739</v>
      </c>
      <c r="D32" s="110">
        <f>C32-B32</f>
        <v>693</v>
      </c>
      <c r="E32" s="111">
        <f>D32/B32</f>
        <v>0.33870967741935482</v>
      </c>
      <c r="F32" s="29"/>
      <c r="G32" s="49" t="s">
        <v>8</v>
      </c>
      <c r="H32" s="87">
        <f>1820+1881+1973+3803+129+67+49</f>
        <v>9722</v>
      </c>
      <c r="I32" s="87">
        <f>2455+2032+2279+3008+122+61+69</f>
        <v>10026</v>
      </c>
      <c r="J32" s="76">
        <f>I32-H32</f>
        <v>304</v>
      </c>
      <c r="K32" s="142">
        <f>J32/H32</f>
        <v>3.1269286155112118E-2</v>
      </c>
      <c r="L32" s="211"/>
    </row>
    <row r="33" spans="1:12" s="3" customFormat="1" ht="16.5" customHeight="1" thickBot="1" x14ac:dyDescent="0.3">
      <c r="A33" s="86" t="s">
        <v>6</v>
      </c>
      <c r="B33" s="97">
        <f>2056+23</f>
        <v>2079</v>
      </c>
      <c r="C33" s="66">
        <v>2216</v>
      </c>
      <c r="D33" s="110">
        <f t="shared" ref="D33:D35" si="5">C33-B33</f>
        <v>137</v>
      </c>
      <c r="E33" s="111">
        <f t="shared" ref="E33:E35" si="6">D33/B33</f>
        <v>6.5897065897065898E-2</v>
      </c>
      <c r="F33" s="29"/>
      <c r="G33" s="24" t="s">
        <v>9</v>
      </c>
      <c r="H33" s="213">
        <v>129607</v>
      </c>
      <c r="I33" s="88">
        <v>133846</v>
      </c>
      <c r="J33" s="76">
        <f>I33-H33</f>
        <v>4239</v>
      </c>
      <c r="K33" s="142">
        <f>J33/H33</f>
        <v>3.2706566774942714E-2</v>
      </c>
      <c r="L33" s="212"/>
    </row>
    <row r="34" spans="1:12" ht="15" customHeight="1" x14ac:dyDescent="0.25">
      <c r="A34" s="86" t="s">
        <v>27</v>
      </c>
      <c r="B34" s="97">
        <v>2152</v>
      </c>
      <c r="C34" s="66">
        <v>2483</v>
      </c>
      <c r="D34" s="110">
        <f t="shared" si="5"/>
        <v>331</v>
      </c>
      <c r="E34" s="111">
        <f t="shared" si="6"/>
        <v>0.15381040892193309</v>
      </c>
      <c r="F34" s="29"/>
      <c r="G34" s="50" t="s">
        <v>11</v>
      </c>
      <c r="H34" s="89">
        <f>1820+1881+1973+3803+129+67+1180+49+29+575+52+26</f>
        <v>11584</v>
      </c>
      <c r="I34" s="89">
        <f>I32+1118+26+518+41+16+3+247</f>
        <v>11995</v>
      </c>
      <c r="J34" s="143">
        <f>I34-H34</f>
        <v>411</v>
      </c>
      <c r="K34" s="144">
        <f>J34/H34</f>
        <v>3.5479972375690609E-2</v>
      </c>
      <c r="L34" s="191" t="s">
        <v>98</v>
      </c>
    </row>
    <row r="35" spans="1:12" ht="15.75" customHeight="1" thickBot="1" x14ac:dyDescent="0.3">
      <c r="A35" s="86" t="s">
        <v>28</v>
      </c>
      <c r="B35" s="97">
        <v>4135</v>
      </c>
      <c r="C35" s="66">
        <v>3284</v>
      </c>
      <c r="D35" s="81">
        <f t="shared" si="5"/>
        <v>-851</v>
      </c>
      <c r="E35" s="125">
        <f t="shared" si="6"/>
        <v>-0.20580411124546555</v>
      </c>
      <c r="F35" s="29"/>
      <c r="G35" s="51" t="s">
        <v>12</v>
      </c>
      <c r="H35" s="95">
        <v>146394</v>
      </c>
      <c r="I35" s="90">
        <f>149600+1558.5</f>
        <v>151158.5</v>
      </c>
      <c r="J35" s="145">
        <f>I35-H35</f>
        <v>4764.5</v>
      </c>
      <c r="K35" s="146">
        <f>J35/H35</f>
        <v>3.2545732748609918E-2</v>
      </c>
      <c r="L35" s="192"/>
    </row>
    <row r="36" spans="1:12" ht="15.75" thickBot="1" x14ac:dyDescent="0.3">
      <c r="A36" s="45" t="s">
        <v>34</v>
      </c>
      <c r="B36" s="52">
        <f>SUM(B32:B35)</f>
        <v>10412</v>
      </c>
      <c r="C36" s="52">
        <f>SUM(C32:C35)</f>
        <v>10722</v>
      </c>
      <c r="D36" s="108">
        <f t="shared" ref="D36:D38" si="7">C36-B36</f>
        <v>310</v>
      </c>
      <c r="E36" s="109">
        <f t="shared" ref="E36:E38" si="8">D36/B36</f>
        <v>2.9773338455628122E-2</v>
      </c>
      <c r="F36" s="29"/>
      <c r="G36" s="43"/>
      <c r="H36" s="91"/>
      <c r="I36" s="96"/>
      <c r="J36" s="103"/>
      <c r="K36" s="102"/>
      <c r="L36" s="192"/>
    </row>
    <row r="37" spans="1:12" ht="16.5" customHeight="1" thickBot="1" x14ac:dyDescent="0.3">
      <c r="A37" s="44" t="s">
        <v>30</v>
      </c>
      <c r="B37" s="53">
        <f>140+68</f>
        <v>208</v>
      </c>
      <c r="C37" s="53">
        <f>131+61</f>
        <v>192</v>
      </c>
      <c r="D37" s="81">
        <f t="shared" si="7"/>
        <v>-16</v>
      </c>
      <c r="E37" s="80">
        <f t="shared" si="8"/>
        <v>-7.6923076923076927E-2</v>
      </c>
      <c r="F37" s="29"/>
      <c r="G37" s="68" t="s">
        <v>60</v>
      </c>
      <c r="H37" s="19">
        <v>2018</v>
      </c>
      <c r="I37" s="19">
        <v>2019</v>
      </c>
      <c r="J37" s="69" t="s">
        <v>0</v>
      </c>
      <c r="K37" s="70" t="s">
        <v>1</v>
      </c>
      <c r="L37" s="193"/>
    </row>
    <row r="38" spans="1:12" ht="15" customHeight="1" x14ac:dyDescent="0.25">
      <c r="A38" s="45" t="s">
        <v>7</v>
      </c>
      <c r="B38" s="52">
        <f>1410+36</f>
        <v>1446</v>
      </c>
      <c r="C38" s="52">
        <f>255+29+1350+3</f>
        <v>1637</v>
      </c>
      <c r="D38" s="108">
        <f t="shared" si="7"/>
        <v>191</v>
      </c>
      <c r="E38" s="109">
        <f t="shared" si="8"/>
        <v>0.13208852005532504</v>
      </c>
      <c r="F38" s="29"/>
      <c r="G38" s="40" t="s">
        <v>8</v>
      </c>
      <c r="H38" s="92">
        <f>174+198+179+332+11+1+3</f>
        <v>898</v>
      </c>
      <c r="I38" s="92">
        <f>212+184+204+276+9+3</f>
        <v>888</v>
      </c>
      <c r="J38" s="202">
        <f>I38-H38</f>
        <v>-10</v>
      </c>
      <c r="K38" s="203">
        <f>J38/H38</f>
        <v>-1.1135857461024499E-2</v>
      </c>
      <c r="L38" s="140" t="s">
        <v>58</v>
      </c>
    </row>
    <row r="39" spans="1:12" ht="14.25" customHeight="1" x14ac:dyDescent="0.25">
      <c r="A39" s="133" t="s">
        <v>64</v>
      </c>
      <c r="B39" s="52">
        <v>712</v>
      </c>
      <c r="C39" s="52">
        <v>640</v>
      </c>
      <c r="D39" s="205">
        <f>C39-B39</f>
        <v>-72</v>
      </c>
      <c r="E39" s="198">
        <f>D39/B39</f>
        <v>-0.10112359550561797</v>
      </c>
      <c r="F39" s="17"/>
      <c r="G39" s="18" t="s">
        <v>9</v>
      </c>
      <c r="H39" s="88">
        <v>11948</v>
      </c>
      <c r="I39" s="93">
        <v>11952</v>
      </c>
      <c r="J39" s="83">
        <f>I39-H39</f>
        <v>4</v>
      </c>
      <c r="K39" s="84">
        <f t="shared" ref="K39:K41" si="9">J39/H39</f>
        <v>3.3478406427854036E-4</v>
      </c>
      <c r="L39" s="199" t="s">
        <v>76</v>
      </c>
    </row>
    <row r="40" spans="1:12" ht="16.5" customHeight="1" x14ac:dyDescent="0.25">
      <c r="A40" s="45" t="s">
        <v>65</v>
      </c>
      <c r="B40" s="135">
        <v>92</v>
      </c>
      <c r="C40" s="136">
        <v>95</v>
      </c>
      <c r="D40" s="108">
        <f>C40-B40</f>
        <v>3</v>
      </c>
      <c r="E40" s="109">
        <f>D40/B40</f>
        <v>3.2608695652173912E-2</v>
      </c>
      <c r="F40" s="17"/>
      <c r="G40" s="41" t="s">
        <v>13</v>
      </c>
      <c r="H40" s="94">
        <f>174+198+179+332+11+1+230+3+7+137+40+2</f>
        <v>1314</v>
      </c>
      <c r="I40" s="94">
        <f>I38+232+3+122+54+1+8</f>
        <v>1308</v>
      </c>
      <c r="J40" s="204">
        <f>I40-H40</f>
        <v>-6</v>
      </c>
      <c r="K40" s="203">
        <f t="shared" si="9"/>
        <v>-4.5662100456621002E-3</v>
      </c>
      <c r="L40" s="200"/>
    </row>
    <row r="41" spans="1:12" ht="15.75" customHeight="1" thickBot="1" x14ac:dyDescent="0.3">
      <c r="A41" s="46" t="s">
        <v>29</v>
      </c>
      <c r="B41" s="134">
        <v>28</v>
      </c>
      <c r="C41" s="134">
        <v>17</v>
      </c>
      <c r="D41" s="206">
        <f>C41-B41</f>
        <v>-11</v>
      </c>
      <c r="E41" s="207">
        <f>D41/B41</f>
        <v>-0.39285714285714285</v>
      </c>
      <c r="F41" s="17"/>
      <c r="G41" s="42" t="s">
        <v>14</v>
      </c>
      <c r="H41" s="90">
        <v>15562</v>
      </c>
      <c r="I41" s="95">
        <f>15732+51</f>
        <v>15783</v>
      </c>
      <c r="J41" s="216">
        <f>I41-H41</f>
        <v>221</v>
      </c>
      <c r="K41" s="84">
        <f t="shared" si="9"/>
        <v>1.4201259478216167E-2</v>
      </c>
      <c r="L41" s="141"/>
    </row>
    <row r="42" spans="1:12" ht="12" customHeight="1" thickBot="1" x14ac:dyDescent="0.25">
      <c r="A42" s="156" t="s">
        <v>62</v>
      </c>
      <c r="B42" s="156"/>
      <c r="C42" s="156"/>
      <c r="D42" s="156"/>
      <c r="E42" s="156"/>
      <c r="F42" s="17"/>
      <c r="G42" s="5"/>
      <c r="H42" s="9"/>
      <c r="I42" s="9"/>
      <c r="L42" s="128"/>
    </row>
    <row r="43" spans="1:12" ht="13.5" customHeight="1" thickBot="1" x14ac:dyDescent="0.25">
      <c r="A43" s="157"/>
      <c r="B43" s="157"/>
      <c r="C43" s="157"/>
      <c r="D43" s="157"/>
      <c r="E43" s="157"/>
      <c r="F43" s="17"/>
      <c r="G43" s="168" t="s">
        <v>25</v>
      </c>
      <c r="H43" s="169"/>
      <c r="I43" s="169"/>
      <c r="J43" s="19">
        <v>2017</v>
      </c>
      <c r="K43" s="19">
        <v>2018</v>
      </c>
      <c r="L43" s="177"/>
    </row>
    <row r="44" spans="1:12" ht="12.75" customHeight="1" x14ac:dyDescent="0.25">
      <c r="A44" s="157"/>
      <c r="B44" s="157"/>
      <c r="C44" s="157"/>
      <c r="D44" s="157"/>
      <c r="E44" s="157"/>
      <c r="F44" s="30"/>
      <c r="G44" s="189" t="s">
        <v>18</v>
      </c>
      <c r="H44" s="190"/>
      <c r="I44" s="190"/>
      <c r="J44" s="33">
        <f>H38/H24</f>
        <v>6.962319739494495E-2</v>
      </c>
      <c r="K44" s="34">
        <f>I38/I24</f>
        <v>6.6751860482597916E-2</v>
      </c>
      <c r="L44" s="178"/>
    </row>
    <row r="45" spans="1:12" ht="12.75" customHeight="1" x14ac:dyDescent="0.25">
      <c r="A45" s="157"/>
      <c r="B45" s="157"/>
      <c r="C45" s="157"/>
      <c r="D45" s="157"/>
      <c r="E45" s="157"/>
      <c r="F45" s="30"/>
      <c r="G45" s="187" t="s">
        <v>15</v>
      </c>
      <c r="H45" s="188"/>
      <c r="I45" s="188"/>
      <c r="J45" s="33">
        <f>H39/B24</f>
        <v>7.3773123564424906E-2</v>
      </c>
      <c r="K45" s="11">
        <f>I39/C24</f>
        <v>7.1594370449351713E-2</v>
      </c>
      <c r="L45" s="179"/>
    </row>
    <row r="46" spans="1:12" ht="12" customHeight="1" x14ac:dyDescent="0.25">
      <c r="A46" s="157"/>
      <c r="B46" s="157"/>
      <c r="C46" s="157"/>
      <c r="D46" s="157"/>
      <c r="E46" s="157"/>
      <c r="F46" s="31"/>
      <c r="G46" s="172" t="s">
        <v>16</v>
      </c>
      <c r="H46" s="173"/>
      <c r="I46" s="173"/>
      <c r="J46" s="33">
        <f>H40/H24</f>
        <v>0.10187625988525353</v>
      </c>
      <c r="K46" s="11">
        <f>I40/I24</f>
        <v>9.8323686386529358E-2</v>
      </c>
      <c r="L46" s="180" t="s">
        <v>42</v>
      </c>
    </row>
    <row r="47" spans="1:12" ht="3.75" hidden="1" customHeight="1" x14ac:dyDescent="0.25">
      <c r="A47" s="131"/>
      <c r="B47" s="131"/>
      <c r="C47" s="131"/>
      <c r="D47" s="131"/>
      <c r="E47" s="131"/>
      <c r="F47" s="31"/>
      <c r="G47" s="172" t="s">
        <v>17</v>
      </c>
      <c r="H47" s="173"/>
      <c r="I47" s="173"/>
      <c r="J47" s="33">
        <f t="shared" ref="J47" si="10">H41/H27</f>
        <v>1.1408254526794224</v>
      </c>
      <c r="K47" s="11">
        <f>I41/C24</f>
        <v>9.4542666399106273E-2</v>
      </c>
      <c r="L47" s="181"/>
    </row>
    <row r="48" spans="1:12" ht="15" customHeight="1" thickBot="1" x14ac:dyDescent="0.3">
      <c r="A48" s="32" t="s">
        <v>39</v>
      </c>
      <c r="F48" s="17"/>
      <c r="G48" s="182" t="s">
        <v>17</v>
      </c>
      <c r="H48" s="183"/>
      <c r="I48" s="183"/>
      <c r="J48" s="217">
        <f>H41/B24</f>
        <v>9.6087826323198899E-2</v>
      </c>
      <c r="K48" s="12">
        <f>I41/C24</f>
        <v>9.4542666399106273E-2</v>
      </c>
      <c r="L48" s="181"/>
    </row>
    <row r="49" spans="12:12" x14ac:dyDescent="0.2">
      <c r="L49" s="107" t="s">
        <v>77</v>
      </c>
    </row>
  </sheetData>
  <mergeCells count="21">
    <mergeCell ref="G45:I45"/>
    <mergeCell ref="G44:I44"/>
    <mergeCell ref="G47:I47"/>
    <mergeCell ref="L34:L37"/>
    <mergeCell ref="L39:L40"/>
    <mergeCell ref="A42:E46"/>
    <mergeCell ref="B1:D1"/>
    <mergeCell ref="A2:C2"/>
    <mergeCell ref="G2:J2"/>
    <mergeCell ref="A29:E29"/>
    <mergeCell ref="A30:E30"/>
    <mergeCell ref="A28:E28"/>
    <mergeCell ref="G43:I43"/>
    <mergeCell ref="G1:L1"/>
    <mergeCell ref="G46:I46"/>
    <mergeCell ref="G28:K30"/>
    <mergeCell ref="L43:L45"/>
    <mergeCell ref="L46:L48"/>
    <mergeCell ref="G48:I48"/>
    <mergeCell ref="L27:L29"/>
    <mergeCell ref="L30:L33"/>
  </mergeCells>
  <phoneticPr fontId="4" type="noConversion"/>
  <pageMargins left="0.5" right="0.5" top="0.4" bottom="0.35" header="0.5" footer="0.5"/>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workbookViewId="0">
      <selection activeCell="F8" sqref="F8"/>
    </sheetView>
  </sheetViews>
  <sheetFormatPr defaultRowHeight="12.75" x14ac:dyDescent="0.2"/>
  <cols>
    <col min="1" max="1" width="15.7109375" customWidth="1"/>
    <col min="2" max="2" width="14.7109375" customWidth="1"/>
    <col min="5" max="5" width="15" customWidth="1"/>
  </cols>
  <sheetData>
    <row r="2" spans="1:6" x14ac:dyDescent="0.2">
      <c r="B2" s="43" t="s">
        <v>54</v>
      </c>
      <c r="C2" s="43" t="s">
        <v>55</v>
      </c>
      <c r="E2" s="43" t="s">
        <v>56</v>
      </c>
      <c r="F2" s="43" t="s">
        <v>57</v>
      </c>
    </row>
    <row r="3" spans="1:6" x14ac:dyDescent="0.2">
      <c r="A3" t="s">
        <v>50</v>
      </c>
      <c r="B3" s="106">
        <f>IF(SUM('Sheet 1'!B4:B23)='Sheet 1'!B24,0,1)</f>
        <v>0</v>
      </c>
      <c r="C3" s="106">
        <f>IF(SUM('Sheet 1'!C4:C23)='Sheet 1'!C24,0,1)</f>
        <v>0</v>
      </c>
      <c r="D3" s="106"/>
      <c r="E3" s="106">
        <f>IF(SUM('Sheet 1'!H4:H22)='Sheet 1'!H24,0,1)</f>
        <v>0</v>
      </c>
      <c r="F3" s="106">
        <f>IF(SUM('Sheet 1'!I4:I22)='Sheet 1'!I24,0,1)</f>
        <v>0</v>
      </c>
    </row>
    <row r="4" spans="1:6" x14ac:dyDescent="0.2">
      <c r="A4" t="s">
        <v>51</v>
      </c>
      <c r="B4" s="106">
        <f>IF((SUM('Sheet 1'!B$24:B$26))=('Sheet 1'!B$27),0,1)</f>
        <v>0</v>
      </c>
      <c r="C4" s="106">
        <f>IF((SUM('Sheet 1'!C$24:C$26))=('Sheet 1'!C$27),0,1)</f>
        <v>0</v>
      </c>
      <c r="D4" s="106"/>
      <c r="E4" s="106">
        <f>IF((SUM('Sheet 1'!H$24:H$26))=('Sheet 1'!H$27),0,1)</f>
        <v>0</v>
      </c>
      <c r="F4" s="106">
        <f>IF((SUM('Sheet 1'!I$24:I$26))=('Sheet 1'!I$27),0,1)</f>
        <v>0</v>
      </c>
    </row>
    <row r="5" spans="1:6" x14ac:dyDescent="0.2">
      <c r="B5" s="106"/>
      <c r="C5" s="106"/>
      <c r="D5" s="106"/>
      <c r="E5" s="106"/>
      <c r="F5" s="106"/>
    </row>
    <row r="6" spans="1:6" x14ac:dyDescent="0.2">
      <c r="A6" t="s">
        <v>52</v>
      </c>
      <c r="B6" s="106"/>
      <c r="C6" s="106"/>
      <c r="D6" s="106"/>
      <c r="E6" s="106">
        <f>IF(SUM('Sheet 1'!B36:B41)='Sheet 1'!H24,0,1)</f>
        <v>0</v>
      </c>
      <c r="F6" s="106">
        <f>IF(SUM('Sheet 1'!C36:C41)='Sheet 1'!I24,0,1)</f>
        <v>0</v>
      </c>
    </row>
    <row r="7" spans="1:6" x14ac:dyDescent="0.2">
      <c r="B7" s="106"/>
      <c r="C7" s="106"/>
      <c r="D7" s="106"/>
      <c r="E7" s="106"/>
      <c r="F7" s="106"/>
    </row>
    <row r="8" spans="1:6" x14ac:dyDescent="0.2">
      <c r="A8" t="s">
        <v>53</v>
      </c>
      <c r="B8" s="106">
        <f>IF(SUM('Sheet 1'!H35,'Sheet 1'!H41)='Sheet 1'!B24,0,1)</f>
        <v>0</v>
      </c>
      <c r="C8" s="106">
        <f>IF(SUM('Sheet 1'!I35,'Sheet 1'!I41)='Sheet 1'!C24,0,1)</f>
        <v>1</v>
      </c>
      <c r="D8" s="106"/>
      <c r="E8" s="106">
        <f>IF(SUM('Sheet 1'!H34,'Sheet 1'!H40)='Sheet 1'!H24,0,1)</f>
        <v>0</v>
      </c>
      <c r="F8" s="106">
        <f>IF(SUM('Sheet 1'!I34,'Sheet 1'!I40)='Sheet 1'!I24,0,1)</f>
        <v>0</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Chk</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Enrollment Services</dc:creator>
  <cp:lastModifiedBy>Graunke, Steven Scott</cp:lastModifiedBy>
  <cp:lastPrinted>2018-05-15T20:56:28Z</cp:lastPrinted>
  <dcterms:created xsi:type="dcterms:W3CDTF">2005-01-11T16:04:59Z</dcterms:created>
  <dcterms:modified xsi:type="dcterms:W3CDTF">2019-11-11T18:48:52Z</dcterms:modified>
</cp:coreProperties>
</file>